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240" yWindow="645" windowWidth="19575" windowHeight="7365" activeTab="2"/>
  </bookViews>
  <sheets>
    <sheet name="แบบฟอร์ม 1 (ขยะสะสม) ส่ง" sheetId="2" r:id="rId1"/>
    <sheet name="แบบฟอร์ม 2 (ขยะใหม่) ส่ง" sheetId="3" r:id="rId2"/>
    <sheet name="แบบฟอร์ม 3 (Recycle) ส่ง" sheetId="4" r:id="rId3"/>
  </sheets>
  <definedNames>
    <definedName name="_GoBack" localSheetId="0">'แบบฟอร์ม 1 (ขยะสะสม) ส่ง'!#REF!</definedName>
    <definedName name="_xlnm.Print_Titles" localSheetId="0">'แบบฟอร์ม 1 (ขยะสะสม) ส่ง'!$1:$7</definedName>
    <definedName name="_xlnm.Print_Titles" localSheetId="1">'แบบฟอร์ม 2 (ขยะใหม่) ส่ง'!$1:$7</definedName>
    <definedName name="_xlnm.Print_Titles" localSheetId="2">'แบบฟอร์ม 3 (Recycle) ส่ง'!$1:$6</definedName>
  </definedNames>
  <calcPr calcId="125725"/>
</workbook>
</file>

<file path=xl/calcChain.xml><?xml version="1.0" encoding="utf-8"?>
<calcChain xmlns="http://schemas.openxmlformats.org/spreadsheetml/2006/main">
  <c r="E66" i="4"/>
  <c r="K67" i="3"/>
  <c r="J67"/>
  <c r="F67"/>
  <c r="E49" i="4" l="1"/>
  <c r="J50" i="3"/>
  <c r="K50" s="1"/>
  <c r="F50"/>
  <c r="D38" i="4"/>
  <c r="E38" s="1"/>
  <c r="E43" i="3" l="1"/>
  <c r="E39"/>
  <c r="E67" i="4" l="1"/>
  <c r="E53" l="1"/>
  <c r="J11" i="3"/>
  <c r="K11" s="1"/>
  <c r="F11"/>
  <c r="E59" i="4"/>
  <c r="E60"/>
  <c r="E61"/>
  <c r="E62"/>
  <c r="E58"/>
  <c r="J63" i="3"/>
  <c r="K63" s="1"/>
  <c r="F63"/>
  <c r="J62"/>
  <c r="K62" s="1"/>
  <c r="F62"/>
  <c r="J61"/>
  <c r="K61" s="1"/>
  <c r="F61"/>
  <c r="J60"/>
  <c r="K60" s="1"/>
  <c r="F60"/>
  <c r="J59"/>
  <c r="K59" s="1"/>
  <c r="F59"/>
  <c r="J63" i="2"/>
  <c r="K63" s="1"/>
  <c r="F63"/>
  <c r="J62"/>
  <c r="K62" s="1"/>
  <c r="F62"/>
  <c r="J61"/>
  <c r="K61" s="1"/>
  <c r="F61"/>
  <c r="J60"/>
  <c r="K60" s="1"/>
  <c r="F60"/>
  <c r="J59"/>
  <c r="K59" s="1"/>
  <c r="F59"/>
  <c r="D82" i="4" l="1"/>
  <c r="D81"/>
  <c r="D80"/>
  <c r="D79"/>
  <c r="D78"/>
  <c r="E83" i="3"/>
  <c r="D83"/>
  <c r="J83" s="1"/>
  <c r="E82"/>
  <c r="D82"/>
  <c r="J82" s="1"/>
  <c r="E81"/>
  <c r="D81"/>
  <c r="J81" s="1"/>
  <c r="E80"/>
  <c r="D80"/>
  <c r="F80" s="1"/>
  <c r="K80" s="1"/>
  <c r="E79"/>
  <c r="D79"/>
  <c r="J79" s="1"/>
  <c r="E48" i="4"/>
  <c r="D47"/>
  <c r="E47" s="1"/>
  <c r="D46"/>
  <c r="E46" s="1"/>
  <c r="D45"/>
  <c r="E45" s="1"/>
  <c r="D43"/>
  <c r="E43" s="1"/>
  <c r="J46" i="3"/>
  <c r="K46" s="1"/>
  <c r="J47"/>
  <c r="K47" s="1"/>
  <c r="F46"/>
  <c r="F47"/>
  <c r="F45"/>
  <c r="E49"/>
  <c r="J49" s="1"/>
  <c r="K49" s="1"/>
  <c r="E48"/>
  <c r="J48" s="1"/>
  <c r="K48" s="1"/>
  <c r="J45"/>
  <c r="K45" s="1"/>
  <c r="J49" i="2"/>
  <c r="K49" s="1"/>
  <c r="F49"/>
  <c r="J48"/>
  <c r="K48" s="1"/>
  <c r="F48"/>
  <c r="J47"/>
  <c r="K47" s="1"/>
  <c r="F47"/>
  <c r="E46"/>
  <c r="J46" s="1"/>
  <c r="K46" s="1"/>
  <c r="E45"/>
  <c r="J45" s="1"/>
  <c r="K45" s="1"/>
  <c r="E44"/>
  <c r="J44" s="1"/>
  <c r="K44" s="1"/>
  <c r="E24"/>
  <c r="F44" l="1"/>
  <c r="F45"/>
  <c r="F79" i="3"/>
  <c r="K79" s="1"/>
  <c r="F81"/>
  <c r="K81" s="1"/>
  <c r="F82"/>
  <c r="K82" s="1"/>
  <c r="F83"/>
  <c r="K83" s="1"/>
  <c r="J80"/>
  <c r="F46" i="2"/>
  <c r="F48" i="3"/>
  <c r="F49"/>
  <c r="D36" i="4"/>
  <c r="E36" s="1"/>
  <c r="D16"/>
  <c r="E16" s="1"/>
  <c r="J17" i="3"/>
  <c r="K17" s="1"/>
  <c r="F17"/>
  <c r="E15"/>
  <c r="E13"/>
  <c r="E12"/>
  <c r="E74" i="4"/>
  <c r="E75"/>
  <c r="E76"/>
  <c r="E77"/>
  <c r="E78"/>
  <c r="E79"/>
  <c r="E80"/>
  <c r="E81"/>
  <c r="E82"/>
  <c r="E73"/>
  <c r="E68"/>
  <c r="E65"/>
  <c r="E64"/>
  <c r="E33"/>
  <c r="J68" i="3"/>
  <c r="K68" s="1"/>
  <c r="F68"/>
  <c r="D50" i="4" l="1"/>
  <c r="E50" s="1"/>
  <c r="D37"/>
  <c r="E37" s="1"/>
  <c r="D35"/>
  <c r="E35" s="1"/>
  <c r="E34"/>
  <c r="D26"/>
  <c r="E26" s="1"/>
  <c r="D25"/>
  <c r="E25" s="1"/>
  <c r="D23"/>
  <c r="E23" s="1"/>
  <c r="D22"/>
  <c r="E22" s="1"/>
  <c r="D21"/>
  <c r="E21" s="1"/>
  <c r="D20"/>
  <c r="E20" s="1"/>
  <c r="D19"/>
  <c r="E19" s="1"/>
  <c r="D14"/>
  <c r="E14" s="1"/>
  <c r="D13"/>
  <c r="E13" s="1"/>
  <c r="D12"/>
  <c r="E12" s="1"/>
  <c r="D11"/>
  <c r="E50" i="2"/>
  <c r="F50" s="1"/>
  <c r="D84" i="3"/>
  <c r="J20"/>
  <c r="K20" s="1"/>
  <c r="J21"/>
  <c r="K21" s="1"/>
  <c r="J22"/>
  <c r="K22" s="1"/>
  <c r="J23"/>
  <c r="K23" s="1"/>
  <c r="J34"/>
  <c r="K34" s="1"/>
  <c r="J36"/>
  <c r="K36" s="1"/>
  <c r="J37"/>
  <c r="K37" s="1"/>
  <c r="J38"/>
  <c r="K38" s="1"/>
  <c r="J65"/>
  <c r="K65" s="1"/>
  <c r="F20"/>
  <c r="F21"/>
  <c r="F22"/>
  <c r="F23"/>
  <c r="F34"/>
  <c r="F36"/>
  <c r="F37"/>
  <c r="F38"/>
  <c r="F65"/>
  <c r="J78"/>
  <c r="K78" s="1"/>
  <c r="F77"/>
  <c r="J76"/>
  <c r="K76" s="1"/>
  <c r="F75"/>
  <c r="J74"/>
  <c r="K74" s="1"/>
  <c r="E69"/>
  <c r="F69" s="1"/>
  <c r="J66"/>
  <c r="K66" s="1"/>
  <c r="E51"/>
  <c r="F51" s="1"/>
  <c r="F43"/>
  <c r="J42"/>
  <c r="K42" s="1"/>
  <c r="F41"/>
  <c r="J40"/>
  <c r="K40" s="1"/>
  <c r="F39"/>
  <c r="F35"/>
  <c r="E27"/>
  <c r="F27" s="1"/>
  <c r="E26"/>
  <c r="J26" s="1"/>
  <c r="K26" s="1"/>
  <c r="E25"/>
  <c r="F25" s="1"/>
  <c r="E24"/>
  <c r="J24" s="1"/>
  <c r="K24" s="1"/>
  <c r="E18"/>
  <c r="F18" s="1"/>
  <c r="J15"/>
  <c r="K15" s="1"/>
  <c r="F14"/>
  <c r="J13"/>
  <c r="K13" s="1"/>
  <c r="A8" i="4"/>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9" i="3"/>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D84" i="2"/>
  <c r="G87" s="1"/>
  <c r="J64"/>
  <c r="K64" s="1"/>
  <c r="J66"/>
  <c r="K66" s="1"/>
  <c r="J67"/>
  <c r="K67" s="1"/>
  <c r="J68"/>
  <c r="K68" s="1"/>
  <c r="J70"/>
  <c r="K70" s="1"/>
  <c r="J71"/>
  <c r="K71" s="1"/>
  <c r="J72"/>
  <c r="K72" s="1"/>
  <c r="J73"/>
  <c r="K73" s="1"/>
  <c r="J76"/>
  <c r="K76" s="1"/>
  <c r="J77"/>
  <c r="K77" s="1"/>
  <c r="J78"/>
  <c r="K78" s="1"/>
  <c r="J81"/>
  <c r="K81" s="1"/>
  <c r="J82"/>
  <c r="K82" s="1"/>
  <c r="J83"/>
  <c r="K83" s="1"/>
  <c r="J9"/>
  <c r="K9" s="1"/>
  <c r="J10"/>
  <c r="K10" s="1"/>
  <c r="J12"/>
  <c r="K12" s="1"/>
  <c r="J14"/>
  <c r="J16"/>
  <c r="K16" s="1"/>
  <c r="J17"/>
  <c r="J18"/>
  <c r="K18" s="1"/>
  <c r="J19"/>
  <c r="K19" s="1"/>
  <c r="J20"/>
  <c r="K20" s="1"/>
  <c r="J21"/>
  <c r="K21" s="1"/>
  <c r="J22"/>
  <c r="K22" s="1"/>
  <c r="J23"/>
  <c r="K23" s="1"/>
  <c r="J26"/>
  <c r="K26" s="1"/>
  <c r="J27"/>
  <c r="K27" s="1"/>
  <c r="J28"/>
  <c r="J31"/>
  <c r="K31" s="1"/>
  <c r="J32"/>
  <c r="K32" s="1"/>
  <c r="J33"/>
  <c r="K33" s="1"/>
  <c r="J41"/>
  <c r="J43"/>
  <c r="K43" s="1"/>
  <c r="J50"/>
  <c r="K50" s="1"/>
  <c r="J52"/>
  <c r="K52" s="1"/>
  <c r="J53"/>
  <c r="K53" s="1"/>
  <c r="J54"/>
  <c r="K54" s="1"/>
  <c r="J55"/>
  <c r="K55" s="1"/>
  <c r="J56"/>
  <c r="K56" s="1"/>
  <c r="J57"/>
  <c r="K57" s="1"/>
  <c r="J58"/>
  <c r="K58" s="1"/>
  <c r="J8"/>
  <c r="K8" s="1"/>
  <c r="F9"/>
  <c r="F10"/>
  <c r="F12"/>
  <c r="F16"/>
  <c r="F17"/>
  <c r="F18"/>
  <c r="F19"/>
  <c r="F20"/>
  <c r="F21"/>
  <c r="F22"/>
  <c r="F23"/>
  <c r="F26"/>
  <c r="F27"/>
  <c r="F31"/>
  <c r="F32"/>
  <c r="F33"/>
  <c r="F43"/>
  <c r="F52"/>
  <c r="F53"/>
  <c r="F54"/>
  <c r="F55"/>
  <c r="F56"/>
  <c r="F57"/>
  <c r="F58"/>
  <c r="F64"/>
  <c r="F66"/>
  <c r="F67"/>
  <c r="F68"/>
  <c r="F70"/>
  <c r="F71"/>
  <c r="F72"/>
  <c r="F73"/>
  <c r="F76"/>
  <c r="F77"/>
  <c r="F78"/>
  <c r="F81"/>
  <c r="F82"/>
  <c r="F83"/>
  <c r="F8"/>
  <c r="F79"/>
  <c r="F75"/>
  <c r="J69"/>
  <c r="K69" s="1"/>
  <c r="E65"/>
  <c r="J65" s="1"/>
  <c r="K65" s="1"/>
  <c r="E51"/>
  <c r="J51" s="1"/>
  <c r="K51" s="1"/>
  <c r="E42"/>
  <c r="J42" s="1"/>
  <c r="K42" s="1"/>
  <c r="E40"/>
  <c r="F40" s="1"/>
  <c r="E39"/>
  <c r="J39" s="1"/>
  <c r="K39" s="1"/>
  <c r="E38"/>
  <c r="F38" s="1"/>
  <c r="E37"/>
  <c r="J37" s="1"/>
  <c r="K37" s="1"/>
  <c r="E36"/>
  <c r="F36" s="1"/>
  <c r="E35"/>
  <c r="J35" s="1"/>
  <c r="K35" s="1"/>
  <c r="E34"/>
  <c r="F34" s="1"/>
  <c r="E30"/>
  <c r="F30" s="1"/>
  <c r="E29"/>
  <c r="J29" s="1"/>
  <c r="K29" s="1"/>
  <c r="J25"/>
  <c r="K25" s="1"/>
  <c r="J24"/>
  <c r="J15"/>
  <c r="K15" s="1"/>
  <c r="J13"/>
  <c r="E11"/>
  <c r="J11" s="1"/>
  <c r="K11" s="1"/>
  <c r="A9"/>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D85" i="3" l="1"/>
  <c r="E86" i="4"/>
  <c r="E84" i="3"/>
  <c r="F84" s="1"/>
  <c r="D83" i="4"/>
  <c r="E87" s="1"/>
  <c r="E11"/>
  <c r="K24" i="2"/>
  <c r="K17"/>
  <c r="G87" i="3"/>
  <c r="K13" i="2"/>
  <c r="F24"/>
  <c r="J40"/>
  <c r="K40" s="1"/>
  <c r="J36"/>
  <c r="K36" s="1"/>
  <c r="J75"/>
  <c r="K75" s="1"/>
  <c r="F65"/>
  <c r="F29"/>
  <c r="F13"/>
  <c r="J38"/>
  <c r="K38" s="1"/>
  <c r="J34"/>
  <c r="K34" s="1"/>
  <c r="F12" i="3"/>
  <c r="F78"/>
  <c r="F76"/>
  <c r="F74"/>
  <c r="F66"/>
  <c r="F42"/>
  <c r="F40"/>
  <c r="F26"/>
  <c r="F24"/>
  <c r="F15"/>
  <c r="F13"/>
  <c r="J77"/>
  <c r="K77" s="1"/>
  <c r="J75"/>
  <c r="K75" s="1"/>
  <c r="J69"/>
  <c r="K69" s="1"/>
  <c r="J51"/>
  <c r="K51" s="1"/>
  <c r="J43"/>
  <c r="K43" s="1"/>
  <c r="J41"/>
  <c r="K41" s="1"/>
  <c r="J39"/>
  <c r="K39" s="1"/>
  <c r="J35"/>
  <c r="K35" s="1"/>
  <c r="J27"/>
  <c r="K27" s="1"/>
  <c r="J25"/>
  <c r="K25" s="1"/>
  <c r="J18"/>
  <c r="K18" s="1"/>
  <c r="J14"/>
  <c r="K14" s="1"/>
  <c r="J12"/>
  <c r="F69" i="2"/>
  <c r="F42"/>
  <c r="F39"/>
  <c r="F37"/>
  <c r="F35"/>
  <c r="F11"/>
  <c r="J30"/>
  <c r="K30" s="1"/>
  <c r="J79"/>
  <c r="K79" s="1"/>
  <c r="E84"/>
  <c r="F51"/>
  <c r="F25"/>
  <c r="F15"/>
  <c r="E88" i="4" l="1"/>
  <c r="E83"/>
  <c r="E85" i="3"/>
  <c r="G88"/>
  <c r="I88" s="1"/>
  <c r="F84" i="2"/>
  <c r="G88"/>
  <c r="J84" i="3"/>
  <c r="K12"/>
  <c r="F80" i="2"/>
  <c r="J80"/>
  <c r="K84" i="3" l="1"/>
  <c r="G89"/>
  <c r="I89" s="1"/>
  <c r="I88" i="2"/>
  <c r="K80"/>
  <c r="J84"/>
  <c r="K84" l="1"/>
  <c r="G89"/>
  <c r="I89" s="1"/>
</calcChain>
</file>

<file path=xl/comments1.xml><?xml version="1.0" encoding="utf-8"?>
<comments xmlns="http://schemas.openxmlformats.org/spreadsheetml/2006/main">
  <authors>
    <author>REO08</author>
    <author>REO16</author>
  </authors>
  <commentList>
    <comment ref="E39" authorId="0">
      <text>
        <r>
          <rPr>
            <b/>
            <sz val="9"/>
            <color indexed="81"/>
            <rFont val="Tahoma"/>
            <family val="2"/>
          </rPr>
          <t>REO08:</t>
        </r>
        <r>
          <rPr>
            <sz val="9"/>
            <color indexed="81"/>
            <rFont val="Tahoma"/>
            <family val="2"/>
          </rPr>
          <t xml:space="preserve">
- SNT 138.4 ต/ว.(ไม่รวม)
- บ.คุณธรรม 111.1 ต./ว. (ข้อมูลสำรวจปี59 125.8 ต./ว.)(ไม่รวม)
- ท่าผา 20.43 ต./ว.
- ดำเนินฯ 6 ต/ว.</t>
        </r>
      </text>
    </comment>
    <comment ref="E40" authorId="0">
      <text>
        <r>
          <rPr>
            <sz val="9"/>
            <color indexed="81"/>
            <rFont val="Tahoma"/>
            <family val="2"/>
          </rPr>
          <t xml:space="preserve">ทม.กจ. 77.5
ท่าขนุน 10
เอราวัณ 3
กาญญไมนิ่ง 38.7
</t>
        </r>
      </text>
    </comment>
    <comment ref="E41" authorId="0">
      <text>
        <r>
          <rPr>
            <b/>
            <sz val="9"/>
            <color indexed="81"/>
            <rFont val="Tahoma"/>
            <family val="2"/>
          </rPr>
          <t>ทั้งจังหวัด x 150 วัน</t>
        </r>
        <r>
          <rPr>
            <sz val="9"/>
            <color indexed="81"/>
            <rFont val="Tahoma"/>
            <family val="2"/>
          </rPr>
          <t xml:space="preserve">
</t>
        </r>
      </text>
    </comment>
    <comment ref="E42" authorId="0">
      <text>
        <r>
          <rPr>
            <b/>
            <sz val="9"/>
            <color indexed="81"/>
            <rFont val="Tahoma"/>
            <family val="2"/>
          </rPr>
          <t>บ่อชะอำ 105.5 ตัน/วัน</t>
        </r>
        <r>
          <rPr>
            <sz val="9"/>
            <color indexed="81"/>
            <rFont val="Tahoma"/>
            <family val="2"/>
          </rPr>
          <t xml:space="preserve">
</t>
        </r>
      </text>
    </comment>
    <comment ref="E43" authorId="0">
      <text>
        <r>
          <rPr>
            <b/>
            <sz val="9"/>
            <color indexed="81"/>
            <rFont val="Tahoma"/>
            <family val="2"/>
          </rPr>
          <t>- ปราณบุรี 127.90 ต/ว.
- พงศ์ประศาสน์ 3.25 ต./ว.
- อ่าวน้อย 5 ต/ว.</t>
        </r>
        <r>
          <rPr>
            <sz val="9"/>
            <color indexed="81"/>
            <rFont val="Tahoma"/>
            <family val="2"/>
          </rPr>
          <t xml:space="preserve">
- ห้วยทราย 3 ต/ว (กลบเมื่อ 10 ต้น เมย.59)</t>
        </r>
      </text>
    </comment>
    <comment ref="D80" authorId="1">
      <text>
        <r>
          <rPr>
            <b/>
            <sz val="9"/>
            <color indexed="81"/>
            <rFont val="Tahoma"/>
            <family val="2"/>
          </rPr>
          <t>ปรับปรุงข้อมูลจำนวนประชากรใหม่
ประจำปี 2558 (เมื่อวันที่ 8 เม.ย.59)</t>
        </r>
      </text>
    </comment>
    <comment ref="D82" authorId="1">
      <text>
        <r>
          <rPr>
            <b/>
            <sz val="8"/>
            <color indexed="81"/>
            <rFont val="Tahoma"/>
            <family val="2"/>
          </rPr>
          <t>ทสจ.ปัตตานี อยู่ระหว่างสำรวจข้อมูลปริมาณขยะมูลฝอยที่เกิดขึ้น ปี 2559 (จึงใช้ข้อมูลเดิมของปี 2558)</t>
        </r>
      </text>
    </comment>
    <comment ref="D83" authorId="1">
      <text>
        <r>
          <rPr>
            <b/>
            <sz val="9"/>
            <color indexed="81"/>
            <rFont val="Tahoma"/>
            <family val="2"/>
          </rPr>
          <t xml:space="preserve">ปรับปรุงข้อมูลจำนวนประชากรใหม่
ประจำปี 2558 (เมื่อวันที่ 8 เม.ย.59)
</t>
        </r>
      </text>
    </comment>
    <comment ref="E83" authorId="1">
      <text>
        <r>
          <rPr>
            <b/>
            <sz val="9"/>
            <color indexed="81"/>
            <rFont val="Tahoma"/>
            <family val="2"/>
          </rPr>
          <t xml:space="preserve">ขยะที่ได้รับการกำจัดถูกต้อง ที่ ทม.พัทลุง วันละ 35 ตัน ในระยะเวลา 5 เดือน
</t>
        </r>
      </text>
    </comment>
  </commentList>
</comments>
</file>

<file path=xl/comments2.xml><?xml version="1.0" encoding="utf-8"?>
<comments xmlns="http://schemas.openxmlformats.org/spreadsheetml/2006/main">
  <authors>
    <author>REO16</author>
  </authors>
  <commentList>
    <comment ref="D79" authorId="0">
      <text>
        <r>
          <rPr>
            <b/>
            <sz val="9"/>
            <color indexed="81"/>
            <rFont val="Tahoma"/>
            <family val="2"/>
          </rPr>
          <t>ขยะที่นำกลับมาใช้ประโยชน์วันละ 269.75 ตัน ในระยะเวลา 6 เดือน</t>
        </r>
      </text>
    </comment>
    <comment ref="D82" authorId="0">
      <text>
        <r>
          <rPr>
            <b/>
            <sz val="9"/>
            <color indexed="81"/>
            <rFont val="Tahoma"/>
            <family val="2"/>
          </rPr>
          <t>ขยะที่นำกลับมาใช้ประโยชน์วันละ 182.75 ตัน ในระยะเวลา 5 เดือน</t>
        </r>
      </text>
    </comment>
  </commentList>
</comments>
</file>

<file path=xl/sharedStrings.xml><?xml version="1.0" encoding="utf-8"?>
<sst xmlns="http://schemas.openxmlformats.org/spreadsheetml/2006/main" count="818" uniqueCount="261">
  <si>
    <t>ที่</t>
  </si>
  <si>
    <t>สสภ.</t>
  </si>
  <si>
    <t>พื้นที่ดำเนินการ</t>
  </si>
  <si>
    <t xml:space="preserve">ปริมาณขยะมูลฝอยตกค้าง ปี 2558 (ตัน) </t>
  </si>
  <si>
    <t>กำจัดได้  (ตัน)</t>
  </si>
  <si>
    <t>%</t>
  </si>
  <si>
    <t>วิธีการจัดการ</t>
  </si>
  <si>
    <t>ดำเนินการโดย</t>
  </si>
  <si>
    <t>ที่เหลือ (ตัน)</t>
  </si>
  <si>
    <t>อปท.</t>
  </si>
  <si>
    <t>เอกชน</t>
  </si>
  <si>
    <t>เชียงใหม่</t>
  </si>
  <si>
    <t>Control Dump / Open Burn</t>
  </si>
  <si>
    <t>/</t>
  </si>
  <si>
    <t>-</t>
  </si>
  <si>
    <t>เชียงราย</t>
  </si>
  <si>
    <t>แม่ฮ่องสอน</t>
  </si>
  <si>
    <t>ลำพูน</t>
  </si>
  <si>
    <t xml:space="preserve"> /</t>
  </si>
  <si>
    <t>ลำปาง</t>
  </si>
  <si>
    <t>พะเยา</t>
  </si>
  <si>
    <t>ใช้ดินฝังกลบขยะชั่วคราว</t>
  </si>
  <si>
    <t>แพร่ *</t>
  </si>
  <si>
    <t>สุโขทัย</t>
  </si>
  <si>
    <t>พิษณุโลก</t>
  </si>
  <si>
    <t>ไถกลบ / Control Dump</t>
  </si>
  <si>
    <t>น่าน</t>
  </si>
  <si>
    <t>ไถกลบ</t>
  </si>
  <si>
    <t>พิจิตร</t>
  </si>
  <si>
    <t>อุตรดิตถ์</t>
  </si>
  <si>
    <t>นครสวรรค์</t>
  </si>
  <si>
    <t>ฝังกลบอย่างถูกหลัก 4 แห่ง ได้แก่ ทน.นครสวรรค์ ทม.ตาคลี ทม.ชุมแสง ทต.ท่าตะโก/ Control Dump &lt; 50 ตัน/วัน 3 แห่ง ทต.บางประมุง อบต.สระทะเล อบต.เขาทอง</t>
  </si>
  <si>
    <t>ตาก</t>
  </si>
  <si>
    <t>เผาในเตาเผา 1 แห่ง ที่ อบต.ช่องแคบ/  Control Dump &lt; 50 ตัน/วัน ที่ ทต.วังเจ้า/ปิดบ่อ  ที่ อบต.ด่านแม่ละเมา</t>
  </si>
  <si>
    <t>กำแพงเพชร</t>
  </si>
  <si>
    <t>ฝังกลบอย่างถูกหลัก 1 แห่ง ได้แก่ ทม.กำแพงเพชร /MBT 1 แห่ง ทต.ลานกระบือ/ Control Dump &lt; 50 ตัน/วัน 3 แห่ง ทต.ไทรงาม ทต.ขาณุฯ ทต.คลองขลุง ทต.คลองแม่ลาย ทต.ระหาน ทต.พรานกระต่าย ทต.คลองพิไกร/ คัดแยกทำ RDF ทต.สลกบาตร/ปิดบ่อ อบต.โค้งไผ่ ทต.คลองลานพัฒนา  อบต.ลานกระบือ อบต.โพธิ์ทอง</t>
  </si>
  <si>
    <t>อุทัยธานี</t>
  </si>
  <si>
    <t>ฝังกลบถูกหลัก 1 แห่ง ทม.อุทัยธานี /ฟื้นฟูสถานที่กำจัดขยะมูลฝอยไม่ถูกหลักวิชาการ 2 แห่ง ทต.ลานสัก ทต.เมืองการุ้ง</t>
  </si>
  <si>
    <t>นครปฐม</t>
  </si>
  <si>
    <t>สุพรรณบุรี</t>
  </si>
  <si>
    <t>ชัยนาท</t>
  </si>
  <si>
    <t>1)  ฝังกลบแบบถูกหลักวิศวกรรม 1 แห่ง (ทต.หันคา) / 2) ฝังกลบแบบชั่วคราว ในพื้นที่ 1 แห่ง  (ทต.หางน้ำสาคร)</t>
  </si>
  <si>
    <t xml:space="preserve"> -</t>
  </si>
  <si>
    <t>สมุทรสาคร</t>
  </si>
  <si>
    <t xml:space="preserve">/ </t>
  </si>
  <si>
    <t>นนทบุรี *</t>
  </si>
  <si>
    <t>สมุทรปราการ</t>
  </si>
  <si>
    <t>ปทุมธานี</t>
  </si>
  <si>
    <t>พระนครศรีอยุธยา</t>
  </si>
  <si>
    <t>1) ทน.พระนครศรีอยุธยาขนย้ายขยะไปฝังกลบถูกต้องวิชาการจำนวน 223,865 ตัน / 2) ทต.ท่าเรือ และทต.อุทัย จ้างเอกชนขนย้ายบางส่วน</t>
  </si>
  <si>
    <t>อ่างทอง</t>
  </si>
  <si>
    <t>1) เทศบาลเมืองอ่างทอง ได้ดำเนินการก่อสร้างโรงไฟฟ้าพลังงานขยะ ในปี 2560 และขยะตกค้างสะสม จำนวน 70,950 ตัน ได้มีการดำเนินการควบคุมกลบฝังแบบ Control dump / 2) ผู้ว่าราชการจังหวัดสั่งการให้ อปท. ในจังหวัด ตั้งงบประมาณของ อปท.  ปี 2559 เพื่อปิดบ่อ และนำขยะใหม่ไปกำจัดที่ ทม.อ่างทอง   ซึ่ง อปท. 11 แห่งต้องปิดบ่อขยะ ในวันที่ 1 ต.ค. 2558 ทั้งนี้ มี อปท.ฝังกลบบ่อขยะแล้ว 5 บ่อ ได้แก่ เทศบาลตำบลแสวงหา  จำนวน 480 ตัน ทต.ป่าโมก จำนวน 4,860 ตัน ,ทต.เกษไชโย จำนวน 607.50 ตัน  , ทต.รำมะสัก จำนวน 607.50 ตัน และอบต.โรงช้าง จำนวน 504 ตัน</t>
  </si>
  <si>
    <t>สิงห์บุรี</t>
  </si>
  <si>
    <t>ทม.สิงห์บุรี จ้างเอกชนร่อนขยะนำพลาสติกส่งโรงปูนซีเมนต์</t>
  </si>
  <si>
    <t>สระบุรี</t>
  </si>
  <si>
    <t>1)ให้เอกชนมาดำเนินการเก็บขนรวบรวมไปใช้ประโยชน์เป็นพลังงานในเตาเผาปูนชีเมนต์นครหลวง 
2) ฝังกลบเชิงวิศวกรรมโดย อปท.</t>
  </si>
  <si>
    <t>เพชรบูรณ์</t>
  </si>
  <si>
    <t>ลพบุรี</t>
  </si>
  <si>
    <t xml:space="preserve">1) ทม.ลพบุรี ว่าจ้าง บ.ภัทรคอนแอนด์เทค ใจการคัดแยกขยะมูลฝอยเพื่อทำเชื้อเพลิงทดแทน (RDF) (สิ้นสุดสัญญา 31. ม.ค.59) 
2) ทต.หนองม่วง , ทต.ลำนารายณ์ , ทต.โคกตูม , ทต.เขาพระยาเดินธง , ทต.เขาพระงาม , ทต.ดีลัง , อบต.ช่องสาริกา บ.เทอมัลเทค เข้ามาดำเนินการขนส่งขยะเพื่อนำไปกำจัด เป็นพลังงานทดแทนในอุตสาหกรรมปูนซีเมนต์ </t>
  </si>
  <si>
    <t>นครนายก</t>
  </si>
  <si>
    <t>1. อบต.พรหมรณี บริษัทเอกชนคัดแยกรับไปกำจัดนำไปเป็นเชื้อเพลิง 
2. ทต.บ้านนา ปิด/ไม่มีสภาพเป็นบ่อขยะ 
3. ทม.นครนายก ปิด</t>
  </si>
  <si>
    <t>ปราจีนบุรี</t>
  </si>
  <si>
    <t>1. ให้เอกชนมาดำเนินการเก็บขนรวบรวมไปใช้ประโยชน์เป็นพลังงานในเตาเผาปูนชีเมนต์นครหลวง (อบต.ท่าตูม) 
2. ฝังกลบปิดหน้าด้วยดิน</t>
  </si>
  <si>
    <t>ราชบุรี</t>
  </si>
  <si>
    <t>ฝังกลบเบื้องต้น</t>
  </si>
  <si>
    <t>กาญจนบุรี</t>
  </si>
  <si>
    <t>สมุทรสงคราม *</t>
  </si>
  <si>
    <t>เพชรบุรี</t>
  </si>
  <si>
    <t>ประจวบคีรีขันธ์</t>
  </si>
  <si>
    <t>อุดรธานี</t>
  </si>
  <si>
    <t>หนองคาย</t>
  </si>
  <si>
    <t xml:space="preserve">ดำเนินการกลบฝังขยะมูลฝอยเดิม </t>
  </si>
  <si>
    <t>เลย</t>
  </si>
  <si>
    <t>1) ดำเนินการปรับปรุงสถานที่กำจัดขยะมูลฝอยเดิมเป็นศูนย์จัดการขยะแบบผสมผสาน 1 แห่ง   
2) ฝังกลบ   
3) คัดแยกในพื้นที่กำจัดขยะ</t>
  </si>
  <si>
    <t>นครพนม</t>
  </si>
  <si>
    <t>ดำเนินการกลบฝังขยะมูลฝอยเดิม / นำไปกำจัดแบบเตาเผามีระบบบำบัดอากาศเสีย (ทต.ศรีสงคราม)</t>
  </si>
  <si>
    <t>สกลนคร</t>
  </si>
  <si>
    <t>บึงกาฬ</t>
  </si>
  <si>
    <t>ขอนแก่น</t>
  </si>
  <si>
    <t xml:space="preserve">ดำเนินการฝังกลบแบบควบคุม control dump จำนวน 23 แห่ง </t>
  </si>
  <si>
    <t>มหาสารคาม</t>
  </si>
  <si>
    <t>1 ) control dump และฝังกลบชั่วคราว 19 แห่ง  2) ขนย้ายออกนอกพื้นที่ และนำส่งโรงปูน 1 แห่ง 3) นำไปทิ้งกับพื้นที่อื่นและปิดบ่อ 6 แห่ง 4) เตาเผาขนาดเล็กไม่เกิน 3 ตันต่อวัน 1 แห่ง</t>
  </si>
  <si>
    <t>กาฬสินธุ์</t>
  </si>
  <si>
    <t xml:space="preserve">control dump และฝังกลบชั่วคราว </t>
  </si>
  <si>
    <t>ชัยภูมิ</t>
  </si>
  <si>
    <t>control dump และฝังกลบ</t>
  </si>
  <si>
    <t>หนองบัวลำภู</t>
  </si>
  <si>
    <t>นครราชสีมา</t>
  </si>
  <si>
    <t>ขุดหลุม ใช้ดินกลบ</t>
  </si>
  <si>
    <t>สุรินทร์</t>
  </si>
  <si>
    <t>บุรีรัมย์</t>
  </si>
  <si>
    <t>ศรีสะเกษ</t>
  </si>
  <si>
    <t>อุบลราชธานี</t>
  </si>
  <si>
    <t>อำนาจเจริญ</t>
  </si>
  <si>
    <t>ยโสธร</t>
  </si>
  <si>
    <t>มุกดาหาร</t>
  </si>
  <si>
    <t>ร้อยเอ็ด</t>
  </si>
  <si>
    <t>ชลบุรี</t>
  </si>
  <si>
    <t>ฝังกลบและรื้อร่อนทำ RDF</t>
  </si>
  <si>
    <t>ระยอง</t>
  </si>
  <si>
    <t>ฝังกลบโดยใช้ดินกลบทับ</t>
  </si>
  <si>
    <t>ตราด</t>
  </si>
  <si>
    <t>เผา เกลี่ยกลบ และ ฝัง</t>
  </si>
  <si>
    <t>จันทบุรี</t>
  </si>
  <si>
    <t>ฉะเชิงเทรา</t>
  </si>
  <si>
    <t>นำไปคัดแยกและแปรรูปเป็นวัสดุทดแทนเชื้อเพลิง RDF วันละ 290 ตัน ดังนี้ 1) บ่อกำนันสตรีรัตน์ 120 ตัน/วัน นำส่ง SCG 2) บ่อกำนันเกรียงศักดิ์ 120 ตัน/วัน นำส่ง SCG 3) ทม.ฉะเชิงเทรา จ้างเหมา บ.เมืองสะอาด กำจัด 50 ตัน/วัน</t>
  </si>
  <si>
    <t>สระแก้ว</t>
  </si>
  <si>
    <t>สุราษฎร์ธานี</t>
  </si>
  <si>
    <t>1. กำจัดอย่างถูกต้อง 
2. ใช้ดินกลบทับ 
3. ปิดระบบ</t>
  </si>
  <si>
    <t>ชุมพร</t>
  </si>
  <si>
    <t>นครศรีธรรมราช</t>
  </si>
  <si>
    <t>ระนอง</t>
  </si>
  <si>
    <t>ใช้ดินกลบทับ</t>
  </si>
  <si>
    <t>ภูเก็ต</t>
  </si>
  <si>
    <t>ตรัง</t>
  </si>
  <si>
    <t>พังงา</t>
  </si>
  <si>
    <t>สตูล</t>
  </si>
  <si>
    <t>กระบี่</t>
  </si>
  <si>
    <t xml:space="preserve">1) ทม.ได้ทำ MOU ร่วมกับ บริษัทเอส ซี ไอ อีโค่ เซอร์วิสเซส จำกัด  ในโครงการการคัดแยกขยะมูลฝอยที่ผ่านการฝังกลบแล้วไปแปรรูปเป็นเชื้อเพลิง RDF เมื่อวันที่  5  พ.ย. 58 ความก้าวหน้าปัจจุบัน ปรับปรุงพื้นที่ตั้งเครื่องจักร ปรัปปรุงอาคารสำนักงาน รอติตั้งเครื่องจักร / 2) อปท.มีการดำเนินการปิดสถานที่กำจัดขยะมูลฝอยแล้ว จำนวน 4 แห่ง ดังนี้  เดือน เม.ย.58 อบต.พรุดินนา ปิดกลบทับบ่อขยะ โดยกำจัดขยะสะสมได้ 1,539 ตัน สิ้นปีงบประมาณ 57 อบต.บ้านกลาง และอบต.อ่าวลึกใต้ จ้างเหมาปิดกลบทับบ่อขยะ โดยกำจัดขยะสะสมได้ 2,265 ตัน และ 1,409 ตัน ตามลำดับ อบต.คลองขนาน ขนย้ายขยะเก่าไปถมที่ในบ่อดินร้างของเอกชน 3,056 ตัน อบต.ศาลาด่าน อยู่ระหว่าง ก่อสร้างสถานีขนถ่ายขยะ เพื่อมาส่งกำจัดที่ ทม. กระบี่ คาดว่าจะแล้วเสร็จ ปี 59 </t>
  </si>
  <si>
    <t>สงขลา</t>
  </si>
  <si>
    <t>นราธิวาส</t>
  </si>
  <si>
    <t>ฝังกลบชั่วคราว ด้วยการใช้ดินฝังกลบขยะภายในพื้นที่</t>
  </si>
  <si>
    <t>ยะลา</t>
  </si>
  <si>
    <t>1) ฝังกลบอย่างถูกหลักสุขาภิบาล 
2) ฝังกลบชั่วคราว ด้วยการใช้ดินฝังกลบขยะภายในพื้นที่</t>
  </si>
  <si>
    <t>ปัตตานี</t>
  </si>
  <si>
    <t>พัทลุง</t>
  </si>
  <si>
    <t>1) ฝังกลบชั่วคราว ด้วยการใช้ดินฝังกลบขยะภายในพื้นที่ 
2) ว่าจ้างเอกชนไปกำจัด</t>
  </si>
  <si>
    <t>รวมทั้งสิ้น</t>
  </si>
  <si>
    <t>หมายเหตุ :</t>
  </si>
  <si>
    <t xml:space="preserve">1. ขยะมูลฝอยตกค้าง หมายถึง ขยะมูลฝอยที่ถูกนำไปทิ้งในสถานที่กำจัดขยะมูลฝอยและไม่ได้รับการกำจัดอย่างถูกต้องตามหลักวิชาการ ทั้งนี้ไม่รวมขยะมูลฝอยที่ทิ้งหรือค้างตามพื้นที่ว่างทั่วไป ตั้งแต่อดีตจนถึงปี 2558 จำนวน 30.49 ล้านตัน </t>
  </si>
  <si>
    <t>2. ขยะมูลฝอยตกค้างได้รับการจัดการอย่างถูกต้อง หมายถึง ขยะมูลฝอยตกค้างถูกนำไปฝังกลบอย่างถูกต้อง หรือแปรรูปเป็นเชื้อเพลิง/พลังงานไฟฟ้า นำส่งเป็นวัตถุดิบให้โรงงานปูนซีเมนต์ หรือส่งไปเตาเผา</t>
  </si>
  <si>
    <t>- การกำจัดแบบยอมรับได้ (Appropriate Landfill) เช่น การฝังกลบแบบเทกองควบคุม (Control Dump) ขนาดน้อยกว่า 50 ตัน/วัน และเตาเผา ขนาดน้อยกว่า 10 ตัน/วัน ที่มีระบบกำจัดอากาศเสีย</t>
  </si>
  <si>
    <t xml:space="preserve">3. สูตรคำนวณ </t>
  </si>
  <si>
    <t>ร้อยละของปริมาณขยะมูลฝอยตกค้างได้รับการกำจัดอย่างถูกต้อง</t>
  </si>
  <si>
    <t xml:space="preserve">  =  </t>
  </si>
  <si>
    <t>ปริมาณขยะมูลฝอยตกค้างที่ได้รับการกำจัดอย่างถูกต้อง (ตัน) x 100</t>
  </si>
  <si>
    <t>ปริมาณขยะมูลฝอยตกค้าง ปี 2558 (ตัน)</t>
  </si>
  <si>
    <t>1) อบต.แพรกษาใหม่ (บริษัท อีสเทิร์นเอนเนอจีพลัส จำกัด) ใช้ดินกลบทับกองขยะเก่าทั้งหมด 
2) อบต.บางปลา (บริษัท สมุทรปราการ รีนิวเอเบิ้ล เอเนอร์จี้จำกัด และ บริษัท อินทาเนีย กรีน พาวเว่อร์ จำกัด) อบต.แพรกษา (บริษัท เด่นชัยปากน้ำ จำกัด) ปรับปรุงแก้ไขเบื้องต้น</t>
  </si>
  <si>
    <t>1) บริษัทรักษ์บ้านเรา ทม.ท่าโขลง ร่อนขยะและใช้ดินกลบทับ 
2) ทม.สนั่นรักษ์ จ้างเอกชนขนย้าย 
3) อบต.พืชอุดม ได้สั่งปิดสถานที่กำจัดขยะของเอกชนแล้ว และเอกชนได้ดำเนินการปิดรับขยะและปรับปรุงพื้นที่ โดยหาดินมากลบทับขยะตกค้างเรียบร้อยแล้ว</t>
  </si>
  <si>
    <t>ให้เอกชนมาดำเนินการเก็บขนรวบรวมไปกำจัด / ฝังกลบเบื้องต้น</t>
  </si>
  <si>
    <t>1) ฝังกลบชั่วคราว ด้วยการใช้ดินฝังกลบขยะภายในพื้นที่ 
2) ขนย้ายไปกำจัดอย่างถูกต้องตามหลักวิชาการ (ในระบบฝังกลบ  และเตาเผาผลิตไฟฟ้า)
3) เอกชนรื้อร่อนนำไปทำเป็นเชื้อเพลิงแข็ง (Refuse Derived Fuel: RDF)</t>
  </si>
  <si>
    <t xml:space="preserve">- การกำจัดแบบถูกหลักวิชาการ เช่น การฝังกลบเชิงวิศวกรรม (Engineer Landfill) การฝังกลบอย่างถูกหลักสุขาภิบาล (Sanitary Landfill) เตาเผาที่มีระบบกำจัดมลพิษทางอากาศ การแปรรูปเพื่อผลิตพลังงาน (WTE) </t>
  </si>
  <si>
    <t>การหมักทำปุ๋ย (Compost) และการกำจัดแบบเชิงกล-ชีวภาพ (MBT)</t>
  </si>
  <si>
    <t>N/A</t>
  </si>
  <si>
    <t>อยู่ระหว่างการดำเนินการสำรวจและประมวลผลข้อมูล</t>
  </si>
  <si>
    <t>Sanitary Landfill ,Open Dump,</t>
  </si>
  <si>
    <t>แพร่</t>
  </si>
  <si>
    <t>ฝังกลบชั่วคราว, เตาเผา</t>
  </si>
  <si>
    <t>ฝังกลบอย่างถูกหลักสุขาภิบาล</t>
  </si>
  <si>
    <t xml:space="preserve">ระบบฝั่งกลบอย่างถูกสุขภิบาล (Sanitary Landfill)
แบบ Area method ของเทศบาลเมืองพิจิตร จำนวนขยะเข้าระบบ 25 ตันต่อวัน และของเทศบาลเมืองบางมูลนาก 17 ตันต่อวัน
</t>
  </si>
  <si>
    <t>เผาในเตาเผา 1 แห่ง ที่ อบต.ช่องแคบ/  Control Dump &lt; 50 ตัน/วัน ที่ ทต.วังเจ้า/ ปิดบ่อ  ที่ อบต.ด่านแม่ละเมา</t>
  </si>
  <si>
    <t>ฝังกลบอย่างถูกหลัก 1 แห่ง ได้แก่ ทม.อุทัยธานี Control Dump &lt; 50 ตัน/วัน 2 แห่ง ทต.ลานสัก ทต.เมืองการรุ้ง</t>
  </si>
  <si>
    <t>ฝังกลบอย่างถูกหลักสุขาภิบาล ณ บ. กลุ่ม 79 จก. อ.กำแพงแสน</t>
  </si>
  <si>
    <t xml:space="preserve">ฝังกลบถูกหลักสุขาภิบาล (Sanitary Landfill) (2)ทม.สุพรรณบุรี,ทม.สองพี่น้อง
และแบบผสมผสาน  (Integrated)(1) ทต.ศรีประจันต์
</t>
  </si>
  <si>
    <t>ฝังกลบอย่างถูกลักวิศวกรรม ณ ทต.หันคา</t>
  </si>
  <si>
    <t>นนทบุรี</t>
  </si>
  <si>
    <t>1) ระบบกำจัดขยะ RDF
2) ระบบฝังกลบ 
3) ระบบเทกอง 
4) ส่งไปกำจัดที่โรงปูน</t>
  </si>
  <si>
    <t>1. กำจัดถูกหลักวิชาการ 47 ตัน/วัน 
2. กำจัดไม่ถูกหลักวิชาการ 384 ตัน/วัน</t>
  </si>
  <si>
    <t xml:space="preserve">1. ส่งเสริมการกำจัดในครัวเรือน 
2. ส่งไป บจก.ทีพีไอโพลีน แก่งคอย 
3. เทกองที่บ่อขยะ อบต.ทรายมูล 
4. เทกองที่ บ่อขยะ อบต.พรหมมณี 
5. ฝังกลบในพื้นที่หมู่ที่ 4 ตำบลองครักษ์ 
6. เทกอง บ่อขยะ อบต.นาหินลาด (เอกชน) 
7. ฝังกลบ/ทม.ปราจีนบุรี
</t>
  </si>
  <si>
    <t>1. กำจัดถูกต้อง 7 ตัน/วัน 
2. กำจัดไม่ถูกต้อง 305 ตัน/วัน</t>
  </si>
  <si>
    <t xml:space="preserve">1) อปท. ให้เอกชนดำเนินการเก็บขนรวบรวมไปกำจัด
2) ดำเนินการปรับปรุงสถานที่กำจัดขยะมูลฝอยเดิมเป็นฝังกลบแบบควบคุม Control Dump 
</t>
  </si>
  <si>
    <t>สมุทรสงคราม</t>
  </si>
  <si>
    <t>ฝังกลบเบื้องต้น, เตาเผา</t>
  </si>
  <si>
    <t>ฝังกลบแบบถูกหลักสุขาภิบาล ฝังกลบควบคุม และ MBT</t>
  </si>
  <si>
    <t xml:space="preserve"> อปท.19 แห่ง เก็บรวบรวม และขนส่งขยะมากำจัดที่ศูนย์กำจัดขยะมูลฝอยรวมจังหวัดภูเก็ต (โรงเตาเผาขยะ ขนาด 700 ตัน/วัน และฝังกลบขยะชิ้นใหญ่บางส่วน) ปริมาณขยะที่ถูกเก็บขนและกำจัดอย่างถูกต้อง เฉลี่ย 664 ตัน/วัน</t>
  </si>
  <si>
    <t xml:space="preserve">อปท. จำนวน 30 แห่ง เก็บขนขยะมูลฝอยและนำไปกำจัดในสถานที่กำจัดอย่างถูกต้อง โดยวิธีฝังกลบถูกหลักสุขาภิบาล 2 แห่ง ได้แก่ ทน.ตรัง และ ทม.กันตัง ซึ่งมีปริมาณขยะ เฉลี่ย 128.92 ตัน/วัน
</t>
  </si>
  <si>
    <t xml:space="preserve"> อปท. จำนวน 34 แห่ง เก็บขนขยะมูลฝอยและนำไปกำจัดในสถานที่กำจัดอย่างถูกต้อง โดยวิธีฝังกลบถูกหลักสุขาภิบาล 2 แห่ง ได้แก่ ทม.พังงา และ ทมตะกั่วป่า ซึ่งมีปริมาณขยะ เฉลี่ย 80.85 ตัน/วัน</t>
  </si>
  <si>
    <t xml:space="preserve"> อปท. จำนวน 17 แห่ง เก็บขนขยะมูลฝอยและนำไปกำจัดในสถานที่กำจัดอย่างถูกต้อง โดยวิธีฝังกลบถูกหลักสุขาภิบาล 2 แห่ง ได้แก่ ทม.สตูล และ ทต.กำพแพง ซึ่งมีปริมาณขยะ เฉลี่ย 78.03 ตัน/วัน
</t>
  </si>
  <si>
    <t xml:space="preserve"> อปท. จำนวน 16 แห่ง เก็บขนขยะมูลฝอยและนำไปกำจัดในสถานที่กำจัดอย่างถูกต้อง โดยวิธีฝังกลบถูกหลักสุขาภิบาล 1 แห่ง ได้แก่ ทม.กระบี่ ซึ่งมีปริมาณขยะ เฉลี่ย 147.75 ตัน/วัน
</t>
  </si>
  <si>
    <t xml:space="preserve">1)ฝังกลบอย่างถูกหลักสุขาภิบาล ณ ทน.สงขลา ทม.บ้านพรุ และ ทม.สะเดา
2) เผาด้วยเตาเผาที่มีระบบกำจัดมลพิษทางอากาศ ณ ทน.หาดใหญ่
</t>
  </si>
  <si>
    <t>ฝังกลบอย่างถูกหลักสุขาภิบาล ณ ทม.นราธิวาส และ ทม.สุไหงโก-ลก</t>
  </si>
  <si>
    <t>ฝังกลบอย่างถูกหลักสุขาภิบาล ณ ระบบกำจัดขยะมูลฝอย ทน.ยะลาและ ทม.เบตง</t>
  </si>
  <si>
    <t>ฝังกลบอย่างถูกหลักสุขาภิบาล ณ ทม.ปัตตานี</t>
  </si>
  <si>
    <t>ฝังกลบอย่างถูกหลักสุขาภิบาล ณ ทม.พัทลุง</t>
  </si>
  <si>
    <t>อัตราการเกิดขยะมูลฝอย</t>
  </si>
  <si>
    <t>เทศบาลนคร</t>
  </si>
  <si>
    <t>เทศบาลเมือง</t>
  </si>
  <si>
    <t>เทศบาลตำบล</t>
  </si>
  <si>
    <t>เมืองพัทยา</t>
  </si>
  <si>
    <t>อบต.</t>
  </si>
  <si>
    <t xml:space="preserve">2. สูตรคำนวณ </t>
  </si>
  <si>
    <t>ร้อยละของปริมาณขยะมูลฝอยที่เกิดขึ้นในปี 2559 ได้รับการกำจัดอย่างถูกต้อง</t>
  </si>
  <si>
    <t>ปริมาณขยะมูลฝอยที่เกิดขึ้นในปี 2559 (ตัน)</t>
  </si>
  <si>
    <t xml:space="preserve">2. ปริมาณขยะมูลฝอยที่นำกลับมาใช้ประโยชน์ หมายถึง ปริมาณขยะมูลฝอยที่เกิดขึ้นทั่วประเทศในปี 2559 ได้ถูกนำกลับมาใช้ประโยชน์ </t>
  </si>
  <si>
    <t xml:space="preserve">ผ่านกิจกรรมต่างๆ เช่น ผ้าป่ารีไซเคิล การล่องเรือเก็บขยะ กิจกรรม Big Cleaning Day กิจกรรมทำปุ๋ยหมัก น้ำหมักชีวภาพ </t>
  </si>
  <si>
    <t xml:space="preserve">กิจกรรมร้านรับซื้อของเก่าสีเขียว กิจกรรมธนาคารขยะชุมชน ธนาคารขยะโรงเรียน ศูนย์รีไซเคิลชุมชน กิจกรรมขยะแลกไข่ ขยะแลกของ </t>
  </si>
  <si>
    <t>กิจกรรมตลาดนัดมือสอง การนำขยะมูลฝอยมาผลิตพลังงานไฟฟ้าและเชื้อเพลิงทดแทน เป็นต้น</t>
  </si>
  <si>
    <t>ร้อยละของปริมาณขยะมูลฝอยที่เกิดขึ้นในปี 2559 ได้รับการนำกลับมาใช้ประโยชน์ (ตัน)</t>
  </si>
  <si>
    <t xml:space="preserve">ปริมาณขยะมูลฝอยที่เกิดขึ้นในปี 2559 ได้รับการนำกลับมาใช้ประโยชน์ (ตัน) x 100 </t>
  </si>
  <si>
    <t>กำจัดถูกต้องได้  (ตัน/วัน)</t>
  </si>
  <si>
    <t>ระบบฝังกลบตามหลักสุขาภิบาล / ระบบคัดแยก</t>
  </si>
  <si>
    <t xml:space="preserve">ปริมาณขยะมูลฝอยที่เกิดขึ้นในปี 2559 ได้รับการกำจัดอย่างถูกต้อง (ตัน/วัน) x 100 </t>
  </si>
  <si>
    <t>ปริมาณขยะมูลฝอยที่เกิดขึ้นในปี 2559 (ตัน/วัน)</t>
  </si>
  <si>
    <t>ตัน/คน/วัน</t>
  </si>
  <si>
    <t xml:space="preserve">1. ปริมาณขยะมูลฝอยที่เกิดขึ้นในปี พ.ศ. 2559 = อัตราการเกิดขยะมูลฝอย x จำนวนประชากรตามทะเบียนราษฎร์ </t>
  </si>
  <si>
    <t>ที่เหลือ 
(ตัน/วัน)</t>
  </si>
  <si>
    <t xml:space="preserve">ปริมาณขยะมูลฝอยที่เกิดขึ้น ปี 2559 * (ตัน/วัน) </t>
  </si>
  <si>
    <t>*</t>
  </si>
  <si>
    <t>ข้อมูลประมาณการณ์ อาจมีการเปลี่ยนแปลงในภายหลัง</t>
  </si>
  <si>
    <t>ปริมาณขยะมูลฝอยที่นำกลับมาใช้ประโยชน์ * (ตัน/วัน)</t>
  </si>
  <si>
    <t>สรุป :</t>
  </si>
  <si>
    <t xml:space="preserve"> ตัน </t>
  </si>
  <si>
    <t>ปริมาณขยะมูลฝอยตกค้างทั่วประเทศ ปี 2558</t>
  </si>
  <si>
    <t xml:space="preserve">ปริมาณขยะมูลฝอยตกค้างที่เหลือ </t>
  </si>
  <si>
    <t>ปริมาณขยะมูลฝอยที่เกิดขึ้นทั่วประเทศ ปี 2559 (คาดการณ์)</t>
  </si>
  <si>
    <t>ตัน/วัน</t>
  </si>
  <si>
    <t>ผลการดำเนินการกำจัดขยะมูลฝอยตกค้าง (26 สิงหาคม 2557 - 30 มีนาคม 2559)</t>
  </si>
  <si>
    <t>ทต.ท่าถ่าน ทิ้งกับ บ.ไพโรจน์สมพงษ์ (บ่อขยะ กทม.)</t>
  </si>
  <si>
    <t>ผลการดำเนินงาน (วันที่ 1 ตุลาคม 2558 - 30 มีนาคม 2559)</t>
  </si>
  <si>
    <t>ปริมาณขยะมูลฝอยที่นำกลับมาใช้ประโยชน์ * (ตัน) 
คิดในช่วงระหว่าง 183 วัน</t>
  </si>
  <si>
    <t>ผลการดำเนินการกำจัดขยะมูลฝอยที่เกิดขึ้นใน ปี 2559 แบบถูกต้อง (1 ตุลาคม 2558 - 30 มีนาคม 2559)</t>
  </si>
  <si>
    <t>ทน.ตรัง มีการจัดการบ่อขยะทุกวัน และมีการกลบทับด้วยดิน 2 ครั้ง/ปี คิดเป็นขยะสะสมที่กำจัดได้ 108,000 ตัน  และทม.กันตัง คิดเป็นขยะสะสมที่กำจัดได้ 96,000 ตัน  มีการกลบทับขยะรายวัน จึงไม่มีขยะสะสมตกค้าง  อบต.บางเป้า ยกเลิกสถานที่กำจัด และขนส่งขยะไปใช้บริการของ ทม.กันตัง โดยมีกำหนดนำดินกลบทับ และรอบรั้วในเดือนพฤษภาคม 59</t>
  </si>
  <si>
    <t>1)  เมื่อวันที่ 21-25 มี.ค.59 ดำเนินการสำรวจประเมินขยะสะสม จ.สตูล พบว่า ทต.ฉลุง ยกเลิกการใช้งานสถานที่กำจัดและ นำขยะที่เกิดขึ้นใหม่ไปทิ้งที่ ทม.สตูล และอยู่ในระหว่างสรรหางบประมาณมากลับทับ และปิดบ่อ  
2) อปท.ที่มีการดำเนินการปิดกลบทับสถานที่กำจัดขยะมูลฝอยแล้ว จำนวน 2 แห่ง ได้แก่ อบต.ท่าเรือ จำนวน 189 ตัน ทต.ฉลุง จำนวน 11,655 ตัน</t>
  </si>
  <si>
    <t>(ข้อมูล ณ วันที่ 30 มีนาคม 2559)</t>
  </si>
  <si>
    <t>สามารถกำจัดไปได้แล้ว (ข้อมูล ณ วันที่ 30 มีนาคม 2559)</t>
  </si>
  <si>
    <t>ไถกลบ/ฝังกลบชั่วคราว</t>
  </si>
  <si>
    <t>ฝังกลบอย่างถูกวิธี</t>
  </si>
  <si>
    <t>1. ทน.นครปฐม ฝังกลบแบบควบคุม 190,000 ตัน และอยู่ระหว่างการจัดทำคำของบประมาณภายใต้แผนปฏิบัติการเพื่อการจัดการคุณภาพสิ่งแวลด้อมระดับจังหวัดปี 2561 เพื่อปรับปรุงสถานที่กำจัดขยะ 
2. ทต.บางเลน ปิดบ่อ และมีแนวทางขนย้ายขยะมูลฝอยตกค้างสะสม เพื่อนำไปกำจัด ที่ บ.ทีพีไอ โพลีน จำกัด (มหาชน) ประมาณ 2 ตัน/วัน ปัจจุบันยังไม่มีการขนย้าย) 
3. ทต.ลำพญา ปิดบ่อ 
4. อบต.สวนป่าน สั่งปิดบ่อขยะเอกชน (นายกระชิต ช่วยแสง) 
5. ทต.นครชัยศรี ปิดบ่อ (ขาดงบประมาณในการขนย้ายขยะ)</t>
  </si>
  <si>
    <t>ข้อมูล ณ เดือนมีนาคม 2559 (ตั้งแต่วันที่ 26 สิงหาคม 2557 - 30 มีนาคม 2559)</t>
  </si>
  <si>
    <t>ข้อมูล ณ เดือนมีนาคม 2559 (ตั้งแต่วันที่ 1 ตุลาคม 2558 - 30 มีนาคม 2559)</t>
  </si>
  <si>
    <t xml:space="preserve">แบบฟอร์มที่ 2 การกำจัดขยะมูลฝอยที่เกิดขึ้นใน ปี 2559 </t>
  </si>
  <si>
    <t>ตัวชี้วัดที่ 1.4.1.2.1 ร้อยละของปริมาณขยะมูลฝอยชุมชนในปี 2559 ได้รับการกำจัดอย่างถูกต้องตามหลักวิชาการ</t>
  </si>
  <si>
    <t>ตัวชี้วัดที่ 1.4.1.1 ร้อยละของปริมาณขยะมูลฝอยตกค้างได้รับการจัดการอย่างถูกต้องตามหลักวิชาการ</t>
  </si>
  <si>
    <t>แบบฟอร์มที่ 1 การกำจัดขยะมูลฝอยตกค้าง</t>
  </si>
  <si>
    <t>ตัวชี้วัดที่ 1.4.1.2.2 ร้อยละของปริมาณขยะมูลฝอยชุมชนในปี 2559 ที่นำกลับไปใช้ประโยชน์</t>
  </si>
  <si>
    <t>แบบฟอร์มที่ 3 ปริมาณขยะมูลฝอยที่นำกลับไปใช้ประโยชน์</t>
  </si>
  <si>
    <t>1.เกิดไฟไหมบ่อขยะทต.ศรีวิไล 2.ฝังกลบโซ่พิสัย</t>
  </si>
  <si>
    <t>1. ฝังกลบแบบถูกหลักสุขาภิบาล 2 แห่ง (ทน.อุดรธานี/ทม.บ้านดุง) /อปท.กำจัดร่วม 40 แห่ง กำจัดขยะได้ 285 และ 33 ตัน/วัน 
2. ฝังกลบแบบมีการควบคุม 2 แห่ง 
2.1 ทต.หนองแวงแก้มหอม อปท.กำจัดร่วม 3 แห่ง กำจัดขยะได้ 16.3 ตัน/วัน  
2.2 ทต.พันดอน กำจัดขยะได้ 3 ตัน/วัน</t>
  </si>
  <si>
    <t>ระบบกำจัดแบบผสมผสาน 1 แห่ง (ทต.เชียงคาน) /  อปท.กำจัดร่วม 7 แห่ง กำจัดขยะได้ 29 ตัน/วัน</t>
  </si>
  <si>
    <t>ฝังกลบแบบถูกหลักสุขาภิบาล 1 แห่ง (ทต.นาแก) /   อปท.กำจัดร่วม 9 แห่ง กำจัดขยะได้ 29.23 ตัน/วัน</t>
  </si>
  <si>
    <t>1. ฝังกลบแบบถูกหลักสุขาภิบาล 3 แห่ง  
1.1 ทน.สกลนคร อปท.กำจัดร่วม 9 แห่ง กำจัดขยะได้ 87.24 ตัน/วัน  
1.2 ทต.ท่าแร่ อปท.ที่กำจัดร่วม 7 แห่ง กำจัดขยะได้13.5  ตัน/วัน  
1.3 ทต.พังโคน อปท.กำจัดร่วม 5 แห่ง กำจัดขยะได้ 20.57 ตัน/วัน</t>
  </si>
  <si>
    <t xml:space="preserve">1. ฝังกลบแบบถูกหลักวิชาการ 1 แห่ง (ทต.ศรีพนา) / อปท.กำจัดร่วม 16 แห่ง กำจัดขยะได้ 30 ตัน/วัน
2. ทต.บึงกาฬกำลังก่อสร้างสถานที่กำจัดขยะถูกหลักสุขาภิบาล มีอปท.กำจัดร่วม1 แห่ง กำจัดขยะได้ 20 ตัน </t>
  </si>
  <si>
    <t xml:space="preserve">1) เทศบาลตำบลล้อมแรด อ.เถิน จ.ลำปาง เกิดกรณีไฟไหม้กองขยะสะสม เมื่อวันที่ 25-28 เมษายน 2559 ทำให้ขยะตกค้างสะสมถูกไฟไหม้ จำนวน 32,850 ตัน
2) องค์การบริหารส่วนตำบลร่องเคาะ อ.วังเหนือ จ.ลำปาง ทำการฝังกลบ โดยใช้ดินกลบขยะตกค้างสะสม เพื่อรอการจัดการในอนาคต จำนวน 16,425 ตัน  </t>
  </si>
  <si>
    <t xml:space="preserve">ฝังกลบ/เตาเผา/เทกอง
1) เทศบาลตำบลล้อมแรด อ.เถิน จ.ลำปาง เกิดกรณีไฟไหม้กองขยะสะสม เมื่อวันที่ 25-28 เมษายน 2559 ทำให้ขยะตกค้างสะสมถูกไฟไหม้ จำนวน 32,850 ตัน
2) องค์การบริหารส่วนตำบลร่องเคาะ อ.วังเหนือ จ.ลำปาง ทำการฝังกลบ โดยใช้ดินกลบขยะตกค้างสะสม เพื่อรอการจัดการในอนาคต จำนวน 16,425 ตัน  </t>
  </si>
  <si>
    <t>1) ระบบฝังกลบโดยเทศบาลเมืองตราด 
2) ระบบคัดแยกโดยเทศบาลตำบลเกาะช้าง อบต.เกาะกูด และ อบต.เกาะหมาก</t>
  </si>
  <si>
    <t>1) ทต.ตาลสุม ปิดบ่อ แล้วขนไปกำจัดที่ site ทม.พิบูลมังสาหาร 
2) ทต.นาเยีย ปิดบ่อ แล้วขนไปกำจัดที่ site ทม.วารินชำราบ  
3) ทต.บุณฑริก ปิดบ่อเดิม ดำเนินการคัดแยกจากต้นทาง แล้วจัดการฝังกลบโดยไม่ตกค้าง 
4) อบต.สำโรงปิดบ่อขยะทิ้งร่วมกับ ทม.วารินชำราบ 
5) อบต.นาโพธิ์กลางฝั่งกลบเรียบร้อย 
6) อบต.คำหว้าฝังกลบเรียบร้อย 
7) อบต.ท่าโพธิ์ศรีปืดบ่อฝังกลบเรียบร้อย 
8) ทต.นาส่วงปิดบ่อทิ้งร่วม ทม.วารินชำราบ 
9)  อบต.ไร่ใต้ฝังกลบเรียบร้อย 
10) อบต.ศรีสุขปิดบ่อฝังกลบเรียบร้อย 
11) ทม.พิบูลมังสาหารฝังกลบเรียบร้อย 
12) การกลบด้วยดิน/การเทกอง/เผากลางแจ้งในพื้นที่ อปท.</t>
  </si>
  <si>
    <t>1) ทต.หัวตะพาน และ ทต.รัตนวารีศรีเจริญ  ปิดบ่อ แล้วให้เอกชน ขนไปกำจัดที่ site อบจ.อำนาจเจริญ 
2) ทต.พระเหลา  ปิดบ่อ ดำเนินการคัดแยกจากต้นทาง แล้วจัดการฝังกลบ และใช้เตาเขนาดเล็กโดยไม่ตกค้าง 
3) ทต.พระเหลา ปิดบ่อนำขยะไปทิ้งร่วมกับ อบจ.อำนาจเจริญ 
4) อบต.นาจิก ปิดบ่อนำขยะไปทิ้งร่วมกับ อบจ.อำนาจเจริญ  
5) อบต.นาหม้อม้า ไถฝังกลบขยะ   
6) ทต.ชานุมาน ฝังกลบโดยใช้ดินกลบเนครั้งคราว 
7) อบต.จานลาน ฝังกลบโดยใช้ดินกลบเป็นครั้งคราว 
8) ทต.สิริเสนางค์ ฝังกลบโดยใช้ดินกลบเป็นครั้งคราว 
9) ทต.หัวตะพาน ฝังกลบโดยใช้ดินกลบเป็นครั้งคราว 
10) ทต.เค้งใหญ่ ฝังกลบโดยใช้ดินกลบเป็นครั้งคราว 
11) ทต.นาหมอม้า ฝังกลบโดยใช้ดินกลบเป็นครั้งคราว 
12) ทต.น้ำปลีก ฝังกลบโดยใช้ดินฝังกลบเป็นครั้งคราว 
13) ทต.ปทุมราชวงศา ฝังกลบโดยใช้ดินฝังกลบเป็นครั้งคราว 
14) การกลบด้วยดิน/การเทกอง/เผากลางแจ้งในพื้นที่ อปท.</t>
  </si>
  <si>
    <t>1) ทต.ดงหลวง และ ทต.ดอนตาล ทำการปิดบ่อ ดำเนินการคัดแยกจากต้นทาง แล้วจัดการฝังกลบโดยไม่ตกค้าง 
2) ทต.หว้านใหญ่ ทำการปิดบ่อแล้ว ขนไปกำจัดที่ site ทม.มุกดาหาร 
3) ทต.คำชะอี ฝังกลบขยะโดยใช้ดินฝังกลบเป็นครั้งคราว 
4) อบต.คำบก ฝังกลบขยะดดยใช้ดินฝังกลบเป็นครั้งคราว 
5) อบต.คำชะอี ฝังกลบขยะโดยใช้ดินฝังกลบเป็นครั้งคราว 
6) ทต.ดงหลวง ฝังกลบขยะโดยใช้ดินฝังกลบเป็นครั้งคราว 
7) ทต.ดอนตาล ฝังกลบเรียบร้อย 
8) ทต.หนองสูง เหนือฝังกลบขยะโดยใช้ดินเป็นครั้งคราว 
9) อบต.หนองสูงใต้ ฝังกลบขยะโดยใช้ดินเป็นครั้งคราว 
10) )การกลบด้วยดิน/การเทกอง/เผากลางแจ้งในพื้นที่ อปท.</t>
  </si>
  <si>
    <t xml:space="preserve">1) ทต.โพนทอง ดำเนินการคัดแยกจากต้นทาง แล้วจัดการฝังกลบโดยไม่ตกค้าง 
2) ทม.ร้อยเอ็ด ให้บริษัทเอกชน มาทำการคัดแยกขยะ แล้วนำไปทำเป็นเชื้อเพลิง RDF
3) อบต. ขอนแก่น จ้างเอกชนเก็บขนและฝังกลบขยะโดยใช้ดินฝังกลบเป็นครั้งคราว 
4) ทต.ปอภาร มีการคัดแยกขยะไปใช้ประโยชน์ ฝังกลบขยะโดยใช้ดินเป็นคั้งคราว 
5) ทต.ปทุมรัตน์ ฝังกลบขยะโดยใช้ดินเป็นครั้งคราว 
6) อบต.น้ำคำ ฝังกลบขยะโดยใช้บ่อดินเป็นครั้งคราว 
7) การกลบด้วยดิน/การเทกอง/เผากลางแจ้งในพื้นที่ อปท.    </t>
  </si>
  <si>
    <t>1) การนำไปกำจัดที่หลุมฝังกลบขยะที่ถูกต้องตามหลักวิชาการ 
2) การฝังกลบด้วยดินเป็นครั้งคราว 
3) การเผาด้วยเตาเผาขยะ</t>
  </si>
  <si>
    <t>Engineer Landfill/เตาเผา/</t>
  </si>
  <si>
    <t>274 (ต.ค. 58 -  ม.ค 59)</t>
  </si>
  <si>
    <t>1. ฝังกลบแบบถูกหลักสุขาภิบาล 2 แห่ง 
1.1 ทม.หนองคาย อปท.กำจัดร่วม 1 แห่ง กำจัดขยะได้ 49 ตัน/วัน 
1.2 ทม.ท่าบ่อ อปท.กำจัดร่วม 10 แห่ง กำจัดขยะได้ 28.17 ตัน/วัน    
2.ระบบกำจัดแบบผสมผสาน 1 แห่ง (ทต.ศรีเชียงใหม่) / อปท.กำจัดร่วม 16 แห่ง กำจัดขยะได้ 33.3 ตัน/วัน</t>
  </si>
  <si>
    <t>1) ฝังกลบอย่างถูกหลักสุขาภิบาล 2 แห่ง 
2) จ้างเหมาเอกชนขุดบ่อฝังกลบชั่วคราว 7 แห่ง</t>
  </si>
  <si>
    <t>1) หจก.สมนึก ธุรกิจ ขุดรื้อขยะเก่า วันละ 200 ตัน/วัน มาทำการคัดแยกพลาสติกเพื่อส่งไปเผาทำลาย บ.ปูนซีเมนต์  จ.สระบุรี
2) ทน.สมุทรสาคร จัดการฝังกลบชั่วคราวเรียบร้อยแล้ว</t>
  </si>
  <si>
    <t>1) การคัดแยกและขนส่งไปกำจัด ณ จังหวัดนครปฐม โดยโดยบริษัทฤตธนารียูส
2) การคัดแยกและฝังกลบแบบควบคุม โดย หจก สมนึกธุรกิจ</t>
  </si>
  <si>
    <t>1) ทต.โคกกลอย มีแผนปิดบ่อที่ 1 ในปี 59 ปริมาณขยะสะสมที่กำจัดได้ 3,360 ตัน  
2) ทต.ท้ายเหมือง มีแผนใช้ดินปิดกลบบ่อเก่า จำนวน 2 บ่อ ในปี 59 ปริมาณขยะสะสมที่กำจัดได้ 7,886 ตัน  
3) ทต.พรุใน กลบดินทับแล้ว จำนวน 5 บ่อ ปริมาณขยะสะสมที่กำจัดได้ 4,500 ตัน</t>
  </si>
  <si>
    <t>ดำเนินการปรับปรุงสถานที่กำจัดขยะให้เป็นแบบเทกองแบบควบคุม (Controlled dump) จำนวน 3 แห่ง โดยงบจังหวัด (ทต.บ้านผิอ ทต.นางัว ทต.ศรีธาตุ)</t>
  </si>
  <si>
    <t>1) ให้เอกชนมาดำเนินการเก็บขนรวบรวมไปใช้ประโยชน์เป็นพลังงานในเตาเผาปูนชีเมนต์นครหลวง รวม 40,559 + 4,000 = 44,559 ตัน
2) ฝังกลบปิดทับด้วยดิน รวม 12,668+4,000 ตัน</t>
  </si>
  <si>
    <t>1) ให้เอกชนมาดำเนินการเก็บขนรวบรวมไปใช้ประโยชน์เป็นพลังงานเชื้อเพลิงในอุตสาหกรรมปูนซีเมนต์ (RDF) รวม 5318.75 ตัน 
2) อปท.การกำจัดอย่างถูกต้อง (Sanitary landfill และ MBT) (ทม.เพชรบูรณ์, ทต.หนองไผ่, ทต.ชนแดน และ ทต.หล่มเก่า) รวม 20,520 ตัน</t>
  </si>
  <si>
    <t>1) ปิดบ่อ 4 แห่ง (ทต.ไผ่กองดิน, อบต.ไผ่ขวาง, นายสมัคร จงสมจิตร, บ่อขยะแห่งที่ 2 ทม.สองพี่น้อง) 
2) ทำ RDF (ทต.ศรีประจันต์) 
3) ฝังกลบชั่วคราวในพื้นที่ 4 แห่ง(ทต.บางปลาม้า, อบต.ดอนคา, ทต.ท่าเสด็จ, สจ.กิจจา วงศ์ประเสริฐ)</t>
  </si>
  <si>
    <t xml:space="preserve">จาการรวบรวมข้อมูลการจัดกิจกรรมทอดผ้าป่าขยะของจังหวัดสุพรรณบุรี </t>
  </si>
  <si>
    <t>อยู่ระหว่างการประสานงานตรวจสอบข้อมูลผลการดำเนินงานโครงการฯ เพื่อความถูกต้องชัดเจน</t>
  </si>
  <si>
    <t>อปท. มีการดำเนินการกำจัดขยะมูลฝอยตกค้าง ด้วยวิธีต่างๆ ดังนี้ 
1) ดำเนินการปิดบ่อเดิม ดำเนินการคัดแยกจากต้นทาง แล้วจัดการฝังกลบโดยไม่ตกค้าง 
2) ดำเนินการคัดแยกจากต้นทาง แล้วทำการเผา โดยใช้เตาขนาดเล็ก 
3) ดำเนินการปิดบ่อขยะ โดยนำขยะไปทิ้งร่วมกับ ทม. ยโสธร</t>
  </si>
  <si>
    <t xml:space="preserve">1) อปท.  16  แห่ง เก็บรวบรวมและขนส่งขยะมากำจัดที่ศูนย์กำจัดขยะมูลฝอยรวมเทศบาลเมืองยโสธร โดยสามารถกำจัดได้วันละ  50   ตัน เป็นระบบกำจัดที่ใช้เทคโนโลยีแบบผสมผสาน (ระบบคัดแยก หมักปุ๋ย และฝังกลบแบบมีการควบคุม) 
2) ทม. กุดชุมพัฒนา โดยสามารถกำจัดได้วันละ  4   ตัน  เป็นการกำจัดแบบผสมผสาน (ระบบคัดแยก หมักปุ๋ย น้ำหมัก เตาเผา และฝังกลบแบบมีการควบคุม) </t>
  </si>
  <si>
    <t>วิธีการกำจัดแบบถูกต้อง</t>
  </si>
  <si>
    <t>ได้รับการกำจัด (คาดการณ์)</t>
  </si>
  <si>
    <t>ยังไม่ได้รับการกำจัด (คาดการณ์)</t>
  </si>
  <si>
    <t>ปริมาณขยะมูลฝอยที่นำกลับมาใช้ประโยชน์ (คาดการณ์)</t>
  </si>
  <si>
    <t>ทม.จันทบุรี และทม.ขลุง</t>
  </si>
  <si>
    <t>หรือการกำจัดด้วยวิธีการอย่างหนึ่งอย่างใด ดังนี้</t>
  </si>
</sst>
</file>

<file path=xl/styles.xml><?xml version="1.0" encoding="utf-8"?>
<styleSheet xmlns="http://schemas.openxmlformats.org/spreadsheetml/2006/main">
  <numFmts count="6">
    <numFmt numFmtId="43" formatCode="_-* #,##0.00_-;\-* #,##0.00_-;_-* &quot;-&quot;??_-;_-@_-"/>
    <numFmt numFmtId="187" formatCode="_(* #,##0.00_);_(* \(#,##0.00\);_(* &quot;-&quot;??_);_(@_)"/>
    <numFmt numFmtId="188" formatCode="#,##0.00_ ;\-#,##0.00\ "/>
    <numFmt numFmtId="189" formatCode="_-* #,##0.00000_-;\-* #,##0.00000_-;_-* &quot;-&quot;??_-;_-@_-"/>
    <numFmt numFmtId="190" formatCode="_-* #,##0_-;\-* #,##0_-;_-* &quot;-&quot;??_-;_-@_-"/>
    <numFmt numFmtId="191" formatCode="0.0%"/>
  </numFmts>
  <fonts count="18">
    <font>
      <sz val="11"/>
      <color theme="1"/>
      <name val="Tahoma"/>
      <family val="2"/>
      <charset val="222"/>
      <scheme val="minor"/>
    </font>
    <font>
      <sz val="11"/>
      <color theme="1"/>
      <name val="Tahoma"/>
      <family val="2"/>
      <charset val="222"/>
      <scheme val="minor"/>
    </font>
    <font>
      <b/>
      <sz val="14"/>
      <name val="TH SarabunPSK"/>
      <family val="2"/>
    </font>
    <font>
      <sz val="14"/>
      <name val="TH SarabunPSK"/>
      <family val="2"/>
    </font>
    <font>
      <b/>
      <u/>
      <sz val="14"/>
      <name val="TH SarabunPSK"/>
      <family val="2"/>
    </font>
    <font>
      <sz val="14"/>
      <color rgb="FFFF0000"/>
      <name val="TH SarabunPSK"/>
      <family val="2"/>
    </font>
    <font>
      <sz val="14"/>
      <color theme="1"/>
      <name val="TH SarabunPSK"/>
      <family val="2"/>
    </font>
    <font>
      <u val="singleAccounting"/>
      <sz val="14"/>
      <name val="TH SarabunPSK"/>
      <family val="2"/>
    </font>
    <font>
      <b/>
      <sz val="9"/>
      <color indexed="81"/>
      <name val="Tahoma"/>
      <family val="2"/>
    </font>
    <font>
      <sz val="10"/>
      <name val="Arial"/>
      <family val="2"/>
    </font>
    <font>
      <b/>
      <sz val="12"/>
      <name val="TH SarabunPSK"/>
      <family val="2"/>
    </font>
    <font>
      <sz val="12"/>
      <name val="TH SarabunPSK"/>
      <family val="2"/>
    </font>
    <font>
      <u val="singleAccounting"/>
      <sz val="12"/>
      <name val="TH SarabunPSK"/>
      <family val="2"/>
    </font>
    <font>
      <sz val="9"/>
      <color indexed="81"/>
      <name val="Tahoma"/>
      <family val="2"/>
    </font>
    <font>
      <sz val="14"/>
      <color theme="0"/>
      <name val="TH SarabunPSK"/>
      <family val="2"/>
    </font>
    <font>
      <b/>
      <sz val="14"/>
      <color theme="1"/>
      <name val="TH SarabunPSK"/>
      <family val="2"/>
    </font>
    <font>
      <b/>
      <sz val="8"/>
      <color indexed="81"/>
      <name val="Tahoma"/>
      <family val="2"/>
    </font>
    <font>
      <sz val="14"/>
      <color theme="1"/>
      <name val="TH Sarabun New"/>
      <family val="2"/>
    </font>
  </fonts>
  <fills count="8">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14">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87" fontId="9" fillId="0" borderId="0" applyFont="0" applyFill="0" applyBorder="0" applyAlignment="0" applyProtection="0"/>
    <xf numFmtId="0" fontId="9" fillId="0" borderId="0"/>
  </cellStyleXfs>
  <cellXfs count="224">
    <xf numFmtId="0" fontId="0" fillId="0" borderId="0" xfId="0"/>
    <xf numFmtId="0" fontId="3" fillId="2" borderId="0" xfId="0" applyFont="1" applyFill="1" applyAlignment="1">
      <alignment horizontal="center" vertical="top"/>
    </xf>
    <xf numFmtId="0" fontId="3" fillId="2" borderId="0" xfId="0" applyFont="1" applyFill="1" applyAlignment="1">
      <alignment vertical="top"/>
    </xf>
    <xf numFmtId="43" fontId="3" fillId="2" borderId="0" xfId="1" applyFont="1" applyFill="1" applyAlignment="1">
      <alignment vertical="top"/>
    </xf>
    <xf numFmtId="0" fontId="3" fillId="2" borderId="0" xfId="0" applyFont="1" applyFill="1" applyAlignment="1">
      <alignment horizontal="left" vertical="top"/>
    </xf>
    <xf numFmtId="0" fontId="3" fillId="0" borderId="0" xfId="0" applyFont="1" applyAlignment="1">
      <alignment vertical="top"/>
    </xf>
    <xf numFmtId="0" fontId="3" fillId="0" borderId="0" xfId="0" applyFont="1" applyAlignment="1">
      <alignment horizontal="center" vertical="top"/>
    </xf>
    <xf numFmtId="0" fontId="3" fillId="0" borderId="0" xfId="1" applyNumberFormat="1" applyFont="1" applyAlignment="1">
      <alignment horizontal="center" vertical="top"/>
    </xf>
    <xf numFmtId="43" fontId="3" fillId="0" borderId="0" xfId="1" applyFont="1" applyAlignment="1">
      <alignment vertical="top"/>
    </xf>
    <xf numFmtId="0" fontId="3" fillId="0" borderId="4" xfId="0" applyFont="1" applyBorder="1" applyAlignment="1">
      <alignment horizontal="center" vertical="top" wrapText="1"/>
    </xf>
    <xf numFmtId="0" fontId="3" fillId="0" borderId="3" xfId="0" applyFont="1" applyBorder="1" applyAlignment="1">
      <alignment horizontal="center" vertical="top" wrapText="1"/>
    </xf>
    <xf numFmtId="0" fontId="3" fillId="0" borderId="5" xfId="0" applyFont="1" applyBorder="1" applyAlignment="1">
      <alignment vertical="top" wrapText="1"/>
    </xf>
    <xf numFmtId="43" fontId="3" fillId="0" borderId="4" xfId="1" applyFont="1" applyBorder="1" applyAlignment="1">
      <alignment horizontal="center" vertical="top" wrapText="1"/>
    </xf>
    <xf numFmtId="9" fontId="3" fillId="0" borderId="4" xfId="2" applyFont="1" applyBorder="1" applyAlignment="1">
      <alignment horizontal="center" vertical="top" wrapText="1"/>
    </xf>
    <xf numFmtId="0" fontId="3" fillId="0" borderId="4" xfId="0" applyFont="1" applyBorder="1" applyAlignment="1">
      <alignment horizontal="left" vertical="top" wrapText="1"/>
    </xf>
    <xf numFmtId="9" fontId="5" fillId="0" borderId="4" xfId="2" applyFont="1" applyBorder="1" applyAlignment="1">
      <alignment horizontal="center" vertical="top" wrapText="1"/>
    </xf>
    <xf numFmtId="43" fontId="3" fillId="0" borderId="4" xfId="1" applyFont="1" applyFill="1" applyBorder="1" applyAlignment="1">
      <alignment horizontal="center" vertical="top" wrapText="1"/>
    </xf>
    <xf numFmtId="9" fontId="3" fillId="0" borderId="4" xfId="2" applyFont="1" applyFill="1" applyBorder="1" applyAlignment="1">
      <alignment horizontal="center" vertical="top"/>
    </xf>
    <xf numFmtId="0" fontId="3" fillId="0" borderId="4" xfId="0" applyFont="1" applyFill="1" applyBorder="1" applyAlignment="1">
      <alignment horizontal="left" vertical="top" wrapText="1"/>
    </xf>
    <xf numFmtId="0" fontId="3" fillId="0" borderId="4" xfId="0" applyFont="1" applyFill="1" applyBorder="1" applyAlignment="1">
      <alignment horizontal="center" vertical="top" wrapText="1"/>
    </xf>
    <xf numFmtId="9" fontId="3" fillId="0" borderId="4" xfId="2" applyFont="1" applyFill="1" applyBorder="1" applyAlignment="1">
      <alignment horizontal="center" vertical="top" wrapText="1"/>
    </xf>
    <xf numFmtId="0" fontId="3" fillId="0" borderId="7" xfId="0" applyFont="1" applyFill="1" applyBorder="1" applyAlignment="1">
      <alignment horizontal="center" vertical="top" wrapText="1"/>
    </xf>
    <xf numFmtId="43" fontId="3" fillId="0" borderId="9" xfId="1" applyFont="1" applyBorder="1" applyAlignment="1">
      <alignment horizontal="center" vertical="top" wrapText="1"/>
    </xf>
    <xf numFmtId="0" fontId="3" fillId="0" borderId="9" xfId="0" applyFont="1" applyBorder="1" applyAlignment="1">
      <alignment horizontal="left" vertical="top" wrapText="1"/>
    </xf>
    <xf numFmtId="0" fontId="3" fillId="0" borderId="9" xfId="0" applyFont="1" applyBorder="1" applyAlignment="1">
      <alignment horizontal="center" vertical="top" wrapText="1"/>
    </xf>
    <xf numFmtId="0" fontId="3" fillId="0" borderId="6" xfId="0" applyFont="1" applyBorder="1" applyAlignment="1">
      <alignment vertical="top" wrapText="1"/>
    </xf>
    <xf numFmtId="9" fontId="3" fillId="0" borderId="9" xfId="2" applyFont="1" applyBorder="1" applyAlignment="1">
      <alignment horizontal="center" vertical="top" wrapText="1"/>
    </xf>
    <xf numFmtId="0" fontId="3" fillId="0" borderId="7" xfId="0" applyFont="1" applyBorder="1" applyAlignment="1">
      <alignment horizontal="center" vertical="top" wrapText="1"/>
    </xf>
    <xf numFmtId="43" fontId="3" fillId="0" borderId="7" xfId="1" applyFont="1" applyBorder="1" applyAlignment="1">
      <alignment horizontal="center" vertical="top" wrapText="1"/>
    </xf>
    <xf numFmtId="9" fontId="3" fillId="0" borderId="7" xfId="2" applyFont="1" applyBorder="1" applyAlignment="1">
      <alignment horizontal="center" vertical="top" wrapText="1"/>
    </xf>
    <xf numFmtId="0" fontId="3" fillId="0" borderId="9" xfId="0"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0" fontId="3" fillId="0" borderId="4" xfId="0" applyFont="1" applyFill="1" applyBorder="1" applyAlignment="1">
      <alignment vertical="top" wrapText="1"/>
    </xf>
    <xf numFmtId="0" fontId="2" fillId="0" borderId="0" xfId="0" applyFont="1" applyAlignment="1">
      <alignment horizontal="left" vertical="top"/>
    </xf>
    <xf numFmtId="0" fontId="3" fillId="0" borderId="0" xfId="0" applyFont="1" applyAlignment="1">
      <alignment horizontal="left" vertical="top"/>
    </xf>
    <xf numFmtId="43" fontId="3" fillId="0" borderId="0" xfId="1" applyFont="1" applyAlignment="1">
      <alignment horizontal="left" vertical="top"/>
    </xf>
    <xf numFmtId="0" fontId="3" fillId="0" borderId="0" xfId="0" quotePrefix="1" applyNumberFormat="1" applyFont="1" applyAlignment="1">
      <alignment vertical="top"/>
    </xf>
    <xf numFmtId="0" fontId="3" fillId="0" borderId="0" xfId="0" quotePrefix="1" applyFont="1" applyAlignment="1">
      <alignment vertical="top"/>
    </xf>
    <xf numFmtId="43" fontId="3" fillId="0" borderId="0" xfId="1" applyFont="1" applyAlignment="1">
      <alignment horizontal="center" vertical="top"/>
    </xf>
    <xf numFmtId="0" fontId="3" fillId="0" borderId="10" xfId="0" applyFont="1" applyBorder="1" applyAlignment="1">
      <alignment horizontal="left" vertical="top"/>
    </xf>
    <xf numFmtId="0" fontId="7" fillId="0" borderId="10" xfId="0" applyFont="1" applyBorder="1" applyAlignment="1">
      <alignment horizontal="center" vertical="top"/>
    </xf>
    <xf numFmtId="43" fontId="7" fillId="0" borderId="10" xfId="1" applyFont="1" applyBorder="1" applyAlignment="1">
      <alignment vertical="top"/>
    </xf>
    <xf numFmtId="43" fontId="3" fillId="0" borderId="0" xfId="1" applyFont="1" applyFill="1" applyAlignment="1">
      <alignment vertical="top"/>
    </xf>
    <xf numFmtId="0" fontId="3" fillId="0" borderId="0" xfId="1" applyNumberFormat="1" applyFont="1" applyFill="1" applyAlignment="1">
      <alignment horizontal="center" vertical="top"/>
    </xf>
    <xf numFmtId="0" fontId="3" fillId="0" borderId="0" xfId="0" applyFont="1" applyFill="1" applyAlignment="1">
      <alignment vertical="top"/>
    </xf>
    <xf numFmtId="43" fontId="3" fillId="0" borderId="9" xfId="1" applyFont="1" applyFill="1" applyBorder="1" applyAlignment="1">
      <alignment horizontal="center" vertical="top" wrapText="1"/>
    </xf>
    <xf numFmtId="0" fontId="3" fillId="0" borderId="4" xfId="0" applyFont="1" applyBorder="1" applyAlignment="1">
      <alignment horizontal="center" vertical="top"/>
    </xf>
    <xf numFmtId="0" fontId="3" fillId="0" borderId="4" xfId="0" applyFont="1" applyBorder="1" applyAlignment="1">
      <alignment vertical="top" wrapText="1"/>
    </xf>
    <xf numFmtId="43" fontId="3" fillId="0" borderId="4" xfId="1" applyFont="1" applyFill="1" applyBorder="1" applyAlignment="1">
      <alignment vertical="top"/>
    </xf>
    <xf numFmtId="43" fontId="5" fillId="0" borderId="4" xfId="1" applyFont="1" applyBorder="1" applyAlignment="1">
      <alignment vertical="top" wrapText="1"/>
    </xf>
    <xf numFmtId="4" fontId="3" fillId="0" borderId="4" xfId="0" applyNumberFormat="1" applyFont="1" applyFill="1" applyBorder="1" applyAlignment="1">
      <alignment vertical="top"/>
    </xf>
    <xf numFmtId="43" fontId="3" fillId="0" borderId="4" xfId="1" applyFont="1" applyFill="1" applyBorder="1" applyAlignment="1">
      <alignment vertical="top" wrapText="1"/>
    </xf>
    <xf numFmtId="43" fontId="3" fillId="0" borderId="4" xfId="1" applyFont="1" applyBorder="1" applyAlignment="1">
      <alignment vertical="top" wrapText="1"/>
    </xf>
    <xf numFmtId="43" fontId="3" fillId="0" borderId="4" xfId="0" applyNumberFormat="1" applyFont="1" applyBorder="1" applyAlignment="1">
      <alignment vertical="top"/>
    </xf>
    <xf numFmtId="0" fontId="3" fillId="0" borderId="4" xfId="0" applyFont="1" applyFill="1" applyBorder="1" applyAlignment="1">
      <alignment horizontal="center" vertical="top"/>
    </xf>
    <xf numFmtId="0" fontId="2" fillId="6" borderId="4" xfId="0" applyFont="1" applyFill="1" applyBorder="1" applyAlignment="1">
      <alignment horizontal="center" vertical="top"/>
    </xf>
    <xf numFmtId="43" fontId="2" fillId="5" borderId="4" xfId="1" applyFont="1" applyFill="1" applyBorder="1" applyAlignment="1">
      <alignment vertical="top"/>
    </xf>
    <xf numFmtId="43" fontId="2" fillId="3" borderId="4" xfId="1" applyFont="1" applyFill="1" applyBorder="1" applyAlignment="1">
      <alignment vertical="top"/>
    </xf>
    <xf numFmtId="9" fontId="3" fillId="3" borderId="4" xfId="2" applyFont="1" applyFill="1" applyBorder="1" applyAlignment="1">
      <alignment horizontal="center" vertical="top" wrapText="1"/>
    </xf>
    <xf numFmtId="9" fontId="3" fillId="0" borderId="4" xfId="2" applyFont="1" applyBorder="1" applyAlignment="1">
      <alignment vertical="top"/>
    </xf>
    <xf numFmtId="9" fontId="3" fillId="0" borderId="4" xfId="2" applyFont="1" applyBorder="1" applyAlignment="1">
      <alignment horizontal="center" vertical="top"/>
    </xf>
    <xf numFmtId="0" fontId="3" fillId="0" borderId="9" xfId="0" applyFont="1" applyBorder="1" applyAlignment="1">
      <alignment horizontal="center" vertical="top"/>
    </xf>
    <xf numFmtId="9" fontId="3" fillId="0" borderId="9" xfId="2" applyFont="1" applyBorder="1" applyAlignment="1">
      <alignment horizontal="center" vertical="top"/>
    </xf>
    <xf numFmtId="0" fontId="3" fillId="0" borderId="0" xfId="0" applyFont="1" applyBorder="1" applyAlignment="1">
      <alignment horizontal="center" vertical="top"/>
    </xf>
    <xf numFmtId="0" fontId="3" fillId="0" borderId="0" xfId="0" applyFont="1" applyBorder="1" applyAlignment="1">
      <alignment vertical="top"/>
    </xf>
    <xf numFmtId="43" fontId="3" fillId="0" borderId="0" xfId="1" applyFont="1" applyBorder="1" applyAlignment="1">
      <alignment vertical="top"/>
    </xf>
    <xf numFmtId="0" fontId="2" fillId="3" borderId="4" xfId="0" applyFont="1" applyFill="1" applyBorder="1" applyAlignment="1">
      <alignment horizontal="center" vertical="top" wrapText="1"/>
    </xf>
    <xf numFmtId="43" fontId="2" fillId="7" borderId="4" xfId="1" applyFont="1" applyFill="1" applyBorder="1" applyAlignment="1">
      <alignment vertical="top"/>
    </xf>
    <xf numFmtId="9" fontId="3" fillId="7" borderId="4" xfId="2" applyFont="1" applyFill="1" applyBorder="1" applyAlignment="1">
      <alignment horizontal="center" vertical="top"/>
    </xf>
    <xf numFmtId="188" fontId="2" fillId="3" borderId="4" xfId="1" applyNumberFormat="1" applyFont="1" applyFill="1" applyBorder="1" applyAlignment="1">
      <alignment vertical="top"/>
    </xf>
    <xf numFmtId="0" fontId="3" fillId="0" borderId="1" xfId="0" applyFont="1" applyBorder="1" applyAlignment="1">
      <alignment horizontal="center" vertical="top"/>
    </xf>
    <xf numFmtId="0" fontId="3" fillId="0" borderId="11" xfId="0" applyFont="1" applyBorder="1" applyAlignment="1">
      <alignment horizontal="center" vertical="top"/>
    </xf>
    <xf numFmtId="0" fontId="3" fillId="0" borderId="2" xfId="0" applyFont="1" applyBorder="1" applyAlignment="1">
      <alignment vertical="top" wrapText="1"/>
    </xf>
    <xf numFmtId="0" fontId="3" fillId="0" borderId="11" xfId="0" applyFont="1" applyFill="1" applyBorder="1" applyAlignment="1">
      <alignment horizontal="center" vertical="top"/>
    </xf>
    <xf numFmtId="0" fontId="3" fillId="0" borderId="5" xfId="0" applyFont="1" applyFill="1" applyBorder="1" applyAlignment="1">
      <alignment vertical="top" wrapText="1"/>
    </xf>
    <xf numFmtId="0" fontId="3" fillId="0" borderId="3" xfId="0" applyFont="1" applyFill="1" applyBorder="1" applyAlignment="1">
      <alignment horizontal="center" vertical="top" wrapText="1"/>
    </xf>
    <xf numFmtId="0" fontId="10" fillId="0" borderId="0" xfId="0" applyFont="1" applyAlignment="1">
      <alignment horizontal="left" vertical="top"/>
    </xf>
    <xf numFmtId="0" fontId="11" fillId="0" borderId="0" xfId="0" applyFont="1" applyAlignment="1">
      <alignment horizontal="center" vertical="top"/>
    </xf>
    <xf numFmtId="0" fontId="11" fillId="0" borderId="0" xfId="0" applyFont="1" applyAlignment="1">
      <alignment vertical="top"/>
    </xf>
    <xf numFmtId="43" fontId="11" fillId="0" borderId="0" xfId="1" applyFont="1" applyAlignment="1">
      <alignment vertical="top"/>
    </xf>
    <xf numFmtId="43" fontId="11" fillId="0" borderId="0" xfId="1" applyFont="1" applyFill="1" applyAlignment="1">
      <alignment vertical="top"/>
    </xf>
    <xf numFmtId="0" fontId="11" fillId="0" borderId="0" xfId="0" applyFont="1" applyAlignment="1">
      <alignment horizontal="left" vertical="top"/>
    </xf>
    <xf numFmtId="43" fontId="11" fillId="0" borderId="0" xfId="1" applyFont="1" applyAlignment="1">
      <alignment horizontal="left" vertical="top"/>
    </xf>
    <xf numFmtId="43" fontId="11" fillId="0" borderId="0" xfId="1" applyFont="1" applyFill="1" applyAlignment="1">
      <alignment horizontal="left" vertical="top"/>
    </xf>
    <xf numFmtId="0" fontId="11" fillId="0" borderId="0" xfId="0" quotePrefix="1" applyNumberFormat="1" applyFont="1" applyAlignment="1">
      <alignment vertical="top"/>
    </xf>
    <xf numFmtId="0" fontId="11" fillId="0" borderId="0" xfId="0" quotePrefix="1" applyFont="1" applyAlignment="1">
      <alignment vertical="top"/>
    </xf>
    <xf numFmtId="43" fontId="11" fillId="0" borderId="0" xfId="1" applyFont="1" applyAlignment="1">
      <alignment horizontal="center" vertical="top"/>
    </xf>
    <xf numFmtId="0" fontId="11" fillId="0" borderId="10" xfId="0" applyFont="1" applyBorder="1" applyAlignment="1">
      <alignment horizontal="left" vertical="top"/>
    </xf>
    <xf numFmtId="0" fontId="12" fillId="0" borderId="0" xfId="0" applyFont="1" applyBorder="1" applyAlignment="1">
      <alignment horizontal="center" vertical="top"/>
    </xf>
    <xf numFmtId="43" fontId="12" fillId="0" borderId="0" xfId="1" applyFont="1" applyBorder="1" applyAlignment="1">
      <alignment vertical="top"/>
    </xf>
    <xf numFmtId="0" fontId="11" fillId="0" borderId="0" xfId="0" applyNumberFormat="1" applyFont="1" applyAlignment="1">
      <alignment vertical="top"/>
    </xf>
    <xf numFmtId="0" fontId="3" fillId="0" borderId="0" xfId="0" applyFont="1" applyFill="1" applyBorder="1" applyAlignment="1">
      <alignment horizontal="center" vertical="top"/>
    </xf>
    <xf numFmtId="0" fontId="2" fillId="0" borderId="0" xfId="0" applyFont="1" applyFill="1" applyBorder="1" applyAlignment="1">
      <alignment horizontal="center" vertical="top"/>
    </xf>
    <xf numFmtId="43" fontId="2" fillId="0" borderId="0" xfId="1" applyFont="1" applyFill="1" applyBorder="1" applyAlignment="1">
      <alignment vertical="top"/>
    </xf>
    <xf numFmtId="188" fontId="2" fillId="0" borderId="0" xfId="1" applyNumberFormat="1" applyFont="1" applyFill="1" applyBorder="1" applyAlignment="1">
      <alignment vertical="top"/>
    </xf>
    <xf numFmtId="9" fontId="3" fillId="0" borderId="0" xfId="2" applyFont="1" applyFill="1" applyBorder="1" applyAlignment="1">
      <alignment horizontal="center" vertical="top" wrapText="1"/>
    </xf>
    <xf numFmtId="9" fontId="3" fillId="0" borderId="0" xfId="2" applyFont="1" applyFill="1" applyBorder="1" applyAlignment="1">
      <alignment horizontal="center" vertical="top"/>
    </xf>
    <xf numFmtId="0" fontId="3" fillId="3" borderId="0" xfId="0" applyFont="1" applyFill="1" applyAlignment="1">
      <alignment horizontal="center" vertical="top"/>
    </xf>
    <xf numFmtId="0" fontId="3" fillId="3" borderId="0" xfId="0" applyFont="1" applyFill="1" applyAlignment="1">
      <alignment vertical="top"/>
    </xf>
    <xf numFmtId="43" fontId="3" fillId="3" borderId="0" xfId="1" applyFont="1" applyFill="1" applyAlignment="1">
      <alignment vertical="top"/>
    </xf>
    <xf numFmtId="0" fontId="2" fillId="7" borderId="4" xfId="0" applyFont="1" applyFill="1" applyBorder="1" applyAlignment="1">
      <alignment horizontal="center" vertical="top" wrapText="1"/>
    </xf>
    <xf numFmtId="0" fontId="3" fillId="0" borderId="4" xfId="0" applyFont="1" applyBorder="1" applyAlignment="1"/>
    <xf numFmtId="43" fontId="3" fillId="0" borderId="4" xfId="1" applyFont="1" applyBorder="1" applyAlignment="1">
      <alignment vertical="top"/>
    </xf>
    <xf numFmtId="0" fontId="3" fillId="0" borderId="4" xfId="0" quotePrefix="1" applyFont="1" applyBorder="1" applyAlignment="1">
      <alignment horizontal="center" vertical="top" wrapText="1"/>
    </xf>
    <xf numFmtId="43" fontId="3" fillId="0" borderId="4" xfId="1" applyFont="1" applyFill="1" applyBorder="1" applyAlignment="1">
      <alignment horizontal="center" vertical="top"/>
    </xf>
    <xf numFmtId="0" fontId="3" fillId="0" borderId="8" xfId="0" applyFont="1" applyFill="1" applyBorder="1" applyAlignment="1">
      <alignment horizontal="left" vertical="top" wrapText="1"/>
    </xf>
    <xf numFmtId="43" fontId="3" fillId="0" borderId="4" xfId="1" applyFont="1" applyFill="1" applyBorder="1" applyAlignment="1">
      <alignment horizontal="right" vertical="top" wrapText="1"/>
    </xf>
    <xf numFmtId="43" fontId="3" fillId="0" borderId="4" xfId="1" applyFont="1" applyFill="1" applyBorder="1" applyAlignment="1">
      <alignment horizontal="right" vertical="top"/>
    </xf>
    <xf numFmtId="43" fontId="3" fillId="0" borderId="4" xfId="1" applyFont="1" applyBorder="1" applyAlignment="1">
      <alignment horizontal="right" vertical="top" wrapText="1"/>
    </xf>
    <xf numFmtId="43" fontId="3" fillId="0" borderId="4" xfId="1" applyFont="1" applyBorder="1" applyAlignment="1">
      <alignment horizontal="right"/>
    </xf>
    <xf numFmtId="43" fontId="3" fillId="0" borderId="4" xfId="1" applyFont="1" applyBorder="1"/>
    <xf numFmtId="0" fontId="3" fillId="0" borderId="4" xfId="0" quotePrefix="1" applyFont="1" applyBorder="1" applyAlignment="1">
      <alignment horizontal="center"/>
    </xf>
    <xf numFmtId="0" fontId="3" fillId="0" borderId="0" xfId="0" applyFont="1" applyAlignment="1">
      <alignment horizontal="left"/>
    </xf>
    <xf numFmtId="0" fontId="3" fillId="0" borderId="10" xfId="0" applyFont="1" applyBorder="1" applyAlignment="1">
      <alignment vertical="top"/>
    </xf>
    <xf numFmtId="0" fontId="2" fillId="7" borderId="0" xfId="0" applyFont="1" applyFill="1" applyAlignment="1">
      <alignment horizontal="left" vertical="top"/>
    </xf>
    <xf numFmtId="0" fontId="3" fillId="7" borderId="0" xfId="0" applyFont="1" applyFill="1" applyAlignment="1">
      <alignment horizontal="center" vertical="top"/>
    </xf>
    <xf numFmtId="0" fontId="3" fillId="7" borderId="0" xfId="0" applyFont="1" applyFill="1" applyAlignment="1">
      <alignment vertical="top"/>
    </xf>
    <xf numFmtId="43" fontId="3" fillId="7" borderId="0" xfId="1" applyFont="1" applyFill="1" applyAlignment="1">
      <alignment horizontal="left" vertical="top"/>
    </xf>
    <xf numFmtId="43" fontId="3" fillId="0" borderId="4" xfId="1" applyFont="1" applyBorder="1" applyAlignment="1">
      <alignment horizontal="left" vertical="top" wrapText="1"/>
    </xf>
    <xf numFmtId="43" fontId="5" fillId="0" borderId="4" xfId="1" applyFont="1" applyBorder="1" applyAlignment="1">
      <alignment horizontal="left" vertical="top" wrapText="1"/>
    </xf>
    <xf numFmtId="43" fontId="3" fillId="0" borderId="4" xfId="1" applyFont="1" applyFill="1" applyBorder="1" applyAlignment="1">
      <alignment horizontal="left" vertical="top" wrapText="1"/>
    </xf>
    <xf numFmtId="43" fontId="3" fillId="0" borderId="10" xfId="1" applyFont="1" applyBorder="1" applyAlignment="1">
      <alignment horizontal="left" vertical="top"/>
    </xf>
    <xf numFmtId="189" fontId="3" fillId="0" borderId="0" xfId="0" applyNumberFormat="1" applyFont="1" applyAlignment="1">
      <alignment vertical="top"/>
    </xf>
    <xf numFmtId="189" fontId="3" fillId="0" borderId="0" xfId="1" applyNumberFormat="1" applyFont="1" applyAlignment="1">
      <alignment horizontal="center" vertical="top"/>
    </xf>
    <xf numFmtId="0" fontId="3" fillId="0" borderId="0" xfId="0" applyFont="1" applyAlignment="1">
      <alignment vertical="top" wrapText="1"/>
    </xf>
    <xf numFmtId="0" fontId="2" fillId="0" borderId="0" xfId="0" applyFont="1" applyAlignment="1">
      <alignment horizontal="center" vertical="top"/>
    </xf>
    <xf numFmtId="190" fontId="3" fillId="0" borderId="0" xfId="1" applyNumberFormat="1" applyFont="1" applyAlignment="1">
      <alignment vertical="top"/>
    </xf>
    <xf numFmtId="190" fontId="3" fillId="0" borderId="0" xfId="1" applyNumberFormat="1" applyFont="1" applyAlignment="1">
      <alignment horizontal="left" vertical="top"/>
    </xf>
    <xf numFmtId="190" fontId="3" fillId="0" borderId="4" xfId="1" applyNumberFormat="1" applyFont="1" applyBorder="1" applyAlignment="1">
      <alignment vertical="top"/>
    </xf>
    <xf numFmtId="43" fontId="3" fillId="0" borderId="4" xfId="1" applyFont="1" applyBorder="1" applyAlignment="1">
      <alignment horizontal="left" vertical="top"/>
    </xf>
    <xf numFmtId="190" fontId="2" fillId="4" borderId="4" xfId="1" applyNumberFormat="1" applyFont="1" applyFill="1" applyBorder="1" applyAlignment="1">
      <alignment horizontal="center" vertical="top" wrapText="1"/>
    </xf>
    <xf numFmtId="190" fontId="3" fillId="7" borderId="0" xfId="1" applyNumberFormat="1" applyFont="1" applyFill="1" applyAlignment="1">
      <alignment vertical="top"/>
    </xf>
    <xf numFmtId="0" fontId="3" fillId="0" borderId="3" xfId="0" applyFont="1" applyBorder="1" applyAlignment="1">
      <alignment vertical="top" wrapText="1"/>
    </xf>
    <xf numFmtId="43" fontId="14" fillId="0" borderId="0" xfId="1" applyFont="1" applyAlignment="1">
      <alignment vertical="top"/>
    </xf>
    <xf numFmtId="9" fontId="3" fillId="0" borderId="4" xfId="2" applyFont="1" applyFill="1" applyBorder="1" applyAlignment="1">
      <alignment horizontal="left" vertical="top" wrapText="1"/>
    </xf>
    <xf numFmtId="0" fontId="11" fillId="0" borderId="0" xfId="0" applyFont="1" applyAlignment="1">
      <alignment horizontal="left"/>
    </xf>
    <xf numFmtId="0" fontId="15" fillId="0" borderId="0" xfId="0" applyFont="1" applyAlignment="1">
      <alignment horizontal="center"/>
    </xf>
    <xf numFmtId="0" fontId="15" fillId="0" borderId="0" xfId="0" applyFont="1" applyAlignment="1">
      <alignment horizontal="left"/>
    </xf>
    <xf numFmtId="9" fontId="3" fillId="0" borderId="0" xfId="2" applyFont="1" applyAlignment="1">
      <alignment horizontal="center" vertical="top"/>
    </xf>
    <xf numFmtId="9" fontId="3" fillId="0" borderId="0" xfId="0" applyNumberFormat="1" applyFont="1" applyAlignment="1">
      <alignment horizontal="center" vertical="top"/>
    </xf>
    <xf numFmtId="0" fontId="3" fillId="0" borderId="0" xfId="0" applyFont="1" applyFill="1" applyBorder="1" applyAlignment="1">
      <alignment horizontal="left" vertical="top"/>
    </xf>
    <xf numFmtId="43" fontId="3" fillId="0" borderId="0" xfId="0" applyNumberFormat="1" applyFont="1" applyAlignment="1">
      <alignment horizontal="center" vertical="top"/>
    </xf>
    <xf numFmtId="9" fontId="3" fillId="0" borderId="0" xfId="2" applyFont="1" applyAlignment="1">
      <alignment vertical="top"/>
    </xf>
    <xf numFmtId="43" fontId="3" fillId="0" borderId="0" xfId="0" applyNumberFormat="1" applyFont="1" applyAlignment="1">
      <alignment vertical="top"/>
    </xf>
    <xf numFmtId="17" fontId="3" fillId="0" borderId="0" xfId="1" applyNumberFormat="1" applyFont="1" applyAlignment="1">
      <alignment vertical="top"/>
    </xf>
    <xf numFmtId="0" fontId="3" fillId="0" borderId="9" xfId="0" applyFont="1" applyFill="1" applyBorder="1" applyAlignment="1">
      <alignment vertical="top" wrapText="1"/>
    </xf>
    <xf numFmtId="0" fontId="3" fillId="0" borderId="13" xfId="0" applyFont="1" applyFill="1" applyBorder="1" applyAlignment="1">
      <alignment vertical="top" wrapText="1"/>
    </xf>
    <xf numFmtId="0" fontId="3" fillId="0" borderId="11" xfId="0" applyFont="1" applyFill="1" applyBorder="1" applyAlignment="1">
      <alignment horizontal="center" vertical="top" wrapText="1"/>
    </xf>
    <xf numFmtId="0" fontId="3" fillId="0" borderId="0" xfId="0" applyFont="1" applyFill="1" applyAlignment="1">
      <alignment vertical="top" wrapText="1"/>
    </xf>
    <xf numFmtId="190" fontId="2" fillId="3" borderId="4" xfId="1" applyNumberFormat="1" applyFont="1" applyFill="1" applyBorder="1" applyAlignment="1">
      <alignment vertical="top"/>
    </xf>
    <xf numFmtId="43" fontId="3" fillId="0" borderId="4" xfId="2" applyNumberFormat="1" applyFont="1" applyBorder="1" applyAlignment="1">
      <alignment horizontal="center" vertical="top" wrapText="1"/>
    </xf>
    <xf numFmtId="0" fontId="6" fillId="0" borderId="0" xfId="0" applyFont="1" applyAlignment="1">
      <alignment vertical="top"/>
    </xf>
    <xf numFmtId="0" fontId="6" fillId="0" borderId="0" xfId="0" applyFont="1" applyAlignment="1">
      <alignment horizontal="left" vertical="top"/>
    </xf>
    <xf numFmtId="0" fontId="2" fillId="3" borderId="0" xfId="0" applyFont="1" applyFill="1" applyAlignment="1">
      <alignment vertical="top"/>
    </xf>
    <xf numFmtId="0" fontId="6" fillId="3" borderId="0" xfId="0" applyFont="1" applyFill="1" applyAlignment="1">
      <alignment vertical="top"/>
    </xf>
    <xf numFmtId="0" fontId="2" fillId="2" borderId="0" xfId="0" applyFont="1" applyFill="1" applyAlignment="1">
      <alignment vertical="top"/>
    </xf>
    <xf numFmtId="0" fontId="6" fillId="2" borderId="0" xfId="0" applyFont="1" applyFill="1" applyAlignment="1">
      <alignment vertical="top"/>
    </xf>
    <xf numFmtId="0" fontId="6" fillId="0" borderId="0" xfId="0" applyFont="1" applyFill="1" applyAlignment="1">
      <alignment vertical="top"/>
    </xf>
    <xf numFmtId="0" fontId="2" fillId="7" borderId="0" xfId="0" applyFont="1" applyFill="1" applyAlignment="1">
      <alignment vertical="top"/>
    </xf>
    <xf numFmtId="0" fontId="6" fillId="7" borderId="0" xfId="0" applyFont="1" applyFill="1" applyAlignment="1">
      <alignment vertical="top"/>
    </xf>
    <xf numFmtId="190" fontId="3" fillId="0" borderId="4" xfId="1" applyNumberFormat="1" applyFont="1" applyBorder="1" applyAlignment="1">
      <alignment horizontal="center" vertical="top" wrapText="1"/>
    </xf>
    <xf numFmtId="0" fontId="3" fillId="0" borderId="9" xfId="0" applyFont="1" applyFill="1" applyBorder="1" applyAlignment="1">
      <alignment horizontal="left" vertical="top" wrapText="1"/>
    </xf>
    <xf numFmtId="191" fontId="3" fillId="0" borderId="4" xfId="2" applyNumberFormat="1" applyFont="1" applyBorder="1" applyAlignment="1">
      <alignment horizontal="center" vertical="top" wrapText="1"/>
    </xf>
    <xf numFmtId="191" fontId="3" fillId="0" borderId="4" xfId="2" applyNumberFormat="1" applyFont="1" applyBorder="1" applyAlignment="1">
      <alignment horizontal="center" vertical="top"/>
    </xf>
    <xf numFmtId="0" fontId="3" fillId="0" borderId="4" xfId="1" applyNumberFormat="1" applyFont="1" applyBorder="1" applyAlignment="1">
      <alignment vertical="top" wrapText="1"/>
    </xf>
    <xf numFmtId="0" fontId="3" fillId="0" borderId="7" xfId="0" applyFont="1" applyBorder="1" applyAlignment="1">
      <alignment horizontal="left" vertical="top" wrapText="1"/>
    </xf>
    <xf numFmtId="9" fontId="3" fillId="0" borderId="4" xfId="2" applyNumberFormat="1" applyFont="1" applyFill="1" applyBorder="1" applyAlignment="1">
      <alignment horizontal="center" vertical="top" wrapText="1"/>
    </xf>
    <xf numFmtId="43" fontId="3" fillId="0" borderId="7" xfId="1" applyFont="1" applyFill="1" applyBorder="1" applyAlignment="1">
      <alignment horizontal="center" vertical="top" wrapText="1"/>
    </xf>
    <xf numFmtId="9" fontId="3" fillId="0" borderId="7" xfId="2" applyFont="1" applyBorder="1" applyAlignment="1">
      <alignment vertical="top"/>
    </xf>
    <xf numFmtId="43" fontId="2" fillId="4" borderId="9" xfId="1" applyFont="1" applyFill="1" applyBorder="1" applyAlignment="1">
      <alignment vertical="top"/>
    </xf>
    <xf numFmtId="43" fontId="2" fillId="7" borderId="9" xfId="1" applyFont="1" applyFill="1" applyBorder="1" applyAlignment="1">
      <alignment vertical="top"/>
    </xf>
    <xf numFmtId="9" fontId="2" fillId="7" borderId="9" xfId="2" applyFont="1" applyFill="1" applyBorder="1" applyAlignment="1">
      <alignment horizontal="center" vertical="top"/>
    </xf>
    <xf numFmtId="43" fontId="2" fillId="2" borderId="9" xfId="1" applyFont="1" applyFill="1" applyBorder="1" applyAlignment="1">
      <alignment vertical="top"/>
    </xf>
    <xf numFmtId="9" fontId="2" fillId="2" borderId="9" xfId="2" applyFont="1" applyFill="1" applyBorder="1" applyAlignment="1">
      <alignment vertical="top"/>
    </xf>
    <xf numFmtId="9" fontId="3" fillId="0" borderId="4" xfId="0" applyNumberFormat="1" applyFont="1" applyBorder="1" applyAlignment="1">
      <alignment horizontal="center" vertical="top"/>
    </xf>
    <xf numFmtId="43" fontId="3" fillId="0" borderId="7" xfId="1" applyFont="1" applyFill="1" applyBorder="1" applyAlignment="1">
      <alignment horizontal="left" vertical="top" wrapText="1"/>
    </xf>
    <xf numFmtId="43" fontId="2" fillId="3" borderId="9" xfId="1" applyFont="1" applyFill="1" applyBorder="1" applyAlignment="1">
      <alignment horizontal="left" vertical="top"/>
    </xf>
    <xf numFmtId="0" fontId="3" fillId="0" borderId="4" xfId="0" applyNumberFormat="1" applyFont="1" applyFill="1" applyBorder="1" applyAlignment="1">
      <alignment horizontal="left" vertical="top" wrapText="1"/>
    </xf>
    <xf numFmtId="43" fontId="3" fillId="0" borderId="4" xfId="2" applyNumberFormat="1" applyFont="1" applyFill="1" applyBorder="1" applyAlignment="1">
      <alignment horizontal="center" vertical="top" wrapText="1"/>
    </xf>
    <xf numFmtId="9" fontId="3" fillId="0" borderId="4" xfId="2" applyFont="1" applyFill="1" applyBorder="1" applyAlignment="1">
      <alignment vertical="top"/>
    </xf>
    <xf numFmtId="43" fontId="6" fillId="0" borderId="4" xfId="1" applyFont="1" applyBorder="1" applyAlignment="1">
      <alignment horizontal="center"/>
    </xf>
    <xf numFmtId="43" fontId="6" fillId="0" borderId="4" xfId="1" applyFont="1" applyBorder="1" applyAlignment="1">
      <alignment horizontal="center" wrapText="1"/>
    </xf>
    <xf numFmtId="9" fontId="6" fillId="0" borderId="4" xfId="2" applyFont="1" applyBorder="1" applyAlignment="1">
      <alignment horizontal="center"/>
    </xf>
    <xf numFmtId="9" fontId="6" fillId="0" borderId="4" xfId="2" applyFont="1" applyBorder="1"/>
    <xf numFmtId="43" fontId="2" fillId="3" borderId="4" xfId="1" applyFont="1" applyFill="1" applyBorder="1" applyAlignment="1">
      <alignment horizontal="center" vertical="top" wrapText="1"/>
    </xf>
    <xf numFmtId="0" fontId="2" fillId="7" borderId="7" xfId="0" applyFont="1" applyFill="1" applyBorder="1" applyAlignment="1">
      <alignment horizontal="center" vertical="top" wrapText="1"/>
    </xf>
    <xf numFmtId="0" fontId="3" fillId="0" borderId="11" xfId="0" applyFont="1" applyBorder="1" applyAlignment="1">
      <alignment horizontal="center" vertical="top" wrapText="1"/>
    </xf>
    <xf numFmtId="43" fontId="6" fillId="0" borderId="11" xfId="1" applyFont="1" applyBorder="1" applyAlignment="1">
      <alignment vertical="top"/>
    </xf>
    <xf numFmtId="43" fontId="3" fillId="0" borderId="4" xfId="1" applyFont="1" applyFill="1" applyBorder="1" applyAlignment="1">
      <alignment horizontal="left" vertical="top"/>
    </xf>
    <xf numFmtId="0" fontId="6" fillId="0" borderId="0" xfId="0" applyFont="1" applyAlignment="1">
      <alignment vertical="top" wrapText="1"/>
    </xf>
    <xf numFmtId="0" fontId="17" fillId="0" borderId="4" xfId="0" applyFont="1" applyBorder="1" applyAlignment="1">
      <alignment vertical="top" wrapText="1"/>
    </xf>
    <xf numFmtId="0" fontId="6" fillId="0" borderId="10" xfId="0" applyFont="1" applyBorder="1" applyAlignment="1">
      <alignment horizontal="left" vertical="top"/>
    </xf>
    <xf numFmtId="0" fontId="3" fillId="0" borderId="9" xfId="0" applyNumberFormat="1" applyFont="1" applyFill="1" applyBorder="1" applyAlignment="1">
      <alignment horizontal="left" vertical="top" wrapText="1"/>
    </xf>
    <xf numFmtId="0" fontId="4" fillId="0" borderId="0" xfId="0" applyFont="1" applyAlignment="1">
      <alignment horizontal="right" vertical="top"/>
    </xf>
    <xf numFmtId="0" fontId="2" fillId="2" borderId="4" xfId="0" applyFont="1" applyFill="1" applyBorder="1" applyAlignment="1">
      <alignment horizontal="center" vertical="top"/>
    </xf>
    <xf numFmtId="0" fontId="2" fillId="2" borderId="4" xfId="0" applyFont="1" applyFill="1" applyBorder="1" applyAlignment="1">
      <alignment horizontal="center" vertical="top" wrapText="1"/>
    </xf>
    <xf numFmtId="0" fontId="2" fillId="2" borderId="7" xfId="0" applyFont="1" applyFill="1" applyBorder="1" applyAlignment="1">
      <alignment horizontal="center" vertical="top" wrapText="1"/>
    </xf>
    <xf numFmtId="43" fontId="2" fillId="5" borderId="4" xfId="1" applyFont="1" applyFill="1" applyBorder="1" applyAlignment="1">
      <alignment horizontal="center" vertical="top" wrapText="1"/>
    </xf>
    <xf numFmtId="43" fontId="2" fillId="3" borderId="4" xfId="1" applyFont="1" applyFill="1" applyBorder="1" applyAlignment="1">
      <alignment horizontal="center" vertical="top"/>
    </xf>
    <xf numFmtId="43" fontId="2" fillId="3" borderId="4" xfId="1" applyFont="1" applyFill="1" applyBorder="1" applyAlignment="1">
      <alignment horizontal="center" vertical="top" wrapText="1"/>
    </xf>
    <xf numFmtId="43" fontId="2" fillId="3" borderId="11" xfId="1" applyFont="1" applyFill="1" applyBorder="1" applyAlignment="1">
      <alignment horizontal="center" vertical="top" wrapText="1"/>
    </xf>
    <xf numFmtId="43" fontId="2" fillId="3" borderId="12" xfId="1" applyFont="1" applyFill="1" applyBorder="1" applyAlignment="1">
      <alignment horizontal="center" vertical="top" wrapText="1"/>
    </xf>
    <xf numFmtId="43" fontId="2" fillId="3" borderId="5" xfId="1" applyFont="1" applyFill="1" applyBorder="1" applyAlignment="1">
      <alignment horizontal="center" vertical="top" wrapText="1"/>
    </xf>
    <xf numFmtId="43" fontId="2" fillId="7" borderId="4" xfId="1" applyFont="1" applyFill="1" applyBorder="1" applyAlignment="1">
      <alignment horizontal="center" vertical="top" wrapText="1"/>
    </xf>
    <xf numFmtId="0" fontId="2" fillId="3" borderId="4" xfId="0" applyFont="1" applyFill="1" applyBorder="1" applyAlignment="1">
      <alignment horizontal="center" vertical="top" wrapText="1"/>
    </xf>
    <xf numFmtId="43" fontId="2" fillId="2" borderId="7" xfId="1" applyFont="1" applyFill="1" applyBorder="1" applyAlignment="1">
      <alignment horizontal="center" vertical="top" wrapText="1"/>
    </xf>
    <xf numFmtId="43" fontId="2" fillId="2" borderId="9" xfId="1" applyFont="1" applyFill="1" applyBorder="1" applyAlignment="1">
      <alignment horizontal="center" vertical="top" wrapText="1"/>
    </xf>
    <xf numFmtId="43" fontId="2" fillId="7" borderId="11" xfId="1" applyFont="1" applyFill="1" applyBorder="1" applyAlignment="1">
      <alignment horizontal="center" vertical="top" wrapText="1"/>
    </xf>
    <xf numFmtId="43" fontId="2" fillId="7" borderId="12" xfId="1" applyFont="1" applyFill="1" applyBorder="1" applyAlignment="1">
      <alignment horizontal="center" vertical="top" wrapText="1"/>
    </xf>
    <xf numFmtId="43" fontId="2" fillId="7" borderId="5" xfId="1" applyFont="1" applyFill="1" applyBorder="1" applyAlignment="1">
      <alignment horizontal="center" vertical="top" wrapText="1"/>
    </xf>
    <xf numFmtId="0" fontId="2" fillId="3" borderId="7" xfId="0" applyFont="1" applyFill="1" applyBorder="1" applyAlignment="1">
      <alignment horizontal="center" vertical="top"/>
    </xf>
    <xf numFmtId="0" fontId="2" fillId="3" borderId="9" xfId="0" applyFont="1" applyFill="1" applyBorder="1" applyAlignment="1">
      <alignment horizontal="center" vertical="top"/>
    </xf>
    <xf numFmtId="0" fontId="2" fillId="3" borderId="7" xfId="0" applyFont="1" applyFill="1" applyBorder="1" applyAlignment="1">
      <alignment horizontal="center" vertical="top" wrapText="1"/>
    </xf>
    <xf numFmtId="0" fontId="2" fillId="3" borderId="3" xfId="0" applyFont="1" applyFill="1" applyBorder="1" applyAlignment="1">
      <alignment horizontal="center" vertical="top" wrapText="1"/>
    </xf>
    <xf numFmtId="0" fontId="2" fillId="3" borderId="9" xfId="0" applyFont="1" applyFill="1" applyBorder="1" applyAlignment="1">
      <alignment horizontal="center" vertical="top" wrapText="1"/>
    </xf>
    <xf numFmtId="43" fontId="2" fillId="4" borderId="7" xfId="1" applyFont="1" applyFill="1" applyBorder="1" applyAlignment="1">
      <alignment horizontal="center" vertical="top" wrapText="1"/>
    </xf>
    <xf numFmtId="43" fontId="2" fillId="4" borderId="9" xfId="1" applyFont="1" applyFill="1" applyBorder="1" applyAlignment="1">
      <alignment horizontal="center" vertical="top" wrapText="1"/>
    </xf>
    <xf numFmtId="43" fontId="2" fillId="7" borderId="7" xfId="1" applyFont="1" applyFill="1" applyBorder="1" applyAlignment="1">
      <alignment horizontal="center" vertical="top" wrapText="1"/>
    </xf>
    <xf numFmtId="43" fontId="2" fillId="7" borderId="9" xfId="1" applyFont="1" applyFill="1" applyBorder="1" applyAlignment="1">
      <alignment horizontal="center" vertical="top" wrapText="1"/>
    </xf>
    <xf numFmtId="0" fontId="2" fillId="7" borderId="7" xfId="0" applyFont="1" applyFill="1" applyBorder="1" applyAlignment="1">
      <alignment horizontal="center" vertical="top" wrapText="1"/>
    </xf>
    <xf numFmtId="0" fontId="2" fillId="7" borderId="9" xfId="0" applyFont="1" applyFill="1" applyBorder="1" applyAlignment="1">
      <alignment horizontal="center" vertical="top" wrapText="1"/>
    </xf>
    <xf numFmtId="0" fontId="2" fillId="7" borderId="11" xfId="0" applyFont="1" applyFill="1" applyBorder="1" applyAlignment="1">
      <alignment horizontal="center" vertical="top" wrapText="1"/>
    </xf>
    <xf numFmtId="0" fontId="2" fillId="7" borderId="5" xfId="0" applyFont="1" applyFill="1" applyBorder="1" applyAlignment="1">
      <alignment horizontal="center" vertical="top" wrapText="1"/>
    </xf>
    <xf numFmtId="43" fontId="2" fillId="2" borderId="4" xfId="1" applyFont="1" applyFill="1" applyBorder="1" applyAlignment="1">
      <alignment horizontal="center" vertical="top" wrapText="1"/>
    </xf>
  </cellXfs>
  <cellStyles count="5">
    <cellStyle name="Comma" xfId="1" builtinId="3"/>
    <cellStyle name="Comma 4" xfId="3"/>
    <cellStyle name="Normal" xfId="0" builtinId="0"/>
    <cellStyle name="Normal 5 2" xfId="4"/>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113"/>
  <sheetViews>
    <sheetView topLeftCell="A25" zoomScale="70" zoomScaleNormal="70" workbookViewId="0">
      <selection activeCell="P24" sqref="P24"/>
    </sheetView>
  </sheetViews>
  <sheetFormatPr defaultRowHeight="21.75"/>
  <cols>
    <col min="1" max="2" width="4.625" style="6" customWidth="1"/>
    <col min="3" max="3" width="12.375" style="5" bestFit="1" customWidth="1"/>
    <col min="4" max="4" width="15.625" style="8" customWidth="1"/>
    <col min="5" max="5" width="12.625" style="42" customWidth="1"/>
    <col min="6" max="6" width="6.625" style="8" customWidth="1"/>
    <col min="7" max="7" width="35.625" style="34" customWidth="1"/>
    <col min="8" max="9" width="5.625" style="6" customWidth="1"/>
    <col min="10" max="10" width="12.625" style="8" customWidth="1"/>
    <col min="11" max="11" width="6.625" style="5" customWidth="1"/>
    <col min="12" max="16384" width="9" style="5"/>
  </cols>
  <sheetData>
    <row r="1" spans="1:11">
      <c r="A1" s="155" t="s">
        <v>223</v>
      </c>
      <c r="B1" s="1"/>
      <c r="C1" s="2"/>
      <c r="D1" s="3"/>
      <c r="E1" s="3"/>
      <c r="F1" s="3"/>
      <c r="G1" s="4"/>
      <c r="H1" s="1"/>
      <c r="I1" s="1"/>
      <c r="J1" s="3"/>
      <c r="K1" s="2"/>
    </row>
    <row r="2" spans="1:11">
      <c r="A2" s="155" t="s">
        <v>222</v>
      </c>
      <c r="B2" s="1"/>
      <c r="C2" s="2"/>
      <c r="D2" s="3"/>
      <c r="E2" s="3"/>
      <c r="F2" s="3"/>
      <c r="G2" s="4"/>
      <c r="H2" s="1"/>
      <c r="I2" s="1"/>
      <c r="J2" s="3"/>
      <c r="K2" s="2"/>
    </row>
    <row r="3" spans="1:11" s="151" customFormat="1">
      <c r="A3" s="155" t="s">
        <v>218</v>
      </c>
      <c r="B3" s="156"/>
      <c r="C3" s="156"/>
      <c r="D3" s="156"/>
      <c r="E3" s="156"/>
      <c r="F3" s="155"/>
      <c r="G3" s="156"/>
      <c r="H3" s="155"/>
      <c r="I3" s="155"/>
      <c r="J3" s="155"/>
      <c r="K3" s="155"/>
    </row>
    <row r="4" spans="1:11">
      <c r="B4" s="5"/>
      <c r="D4" s="5"/>
      <c r="E4" s="43"/>
      <c r="F4" s="7"/>
      <c r="G4" s="5"/>
      <c r="H4" s="193"/>
      <c r="I4" s="193"/>
      <c r="J4" s="193"/>
    </row>
    <row r="5" spans="1:11">
      <c r="A5" s="63"/>
      <c r="B5" s="63"/>
      <c r="C5" s="64"/>
      <c r="D5" s="65"/>
      <c r="E5" s="200" t="s">
        <v>206</v>
      </c>
      <c r="F5" s="201"/>
      <c r="G5" s="201"/>
      <c r="H5" s="201"/>
      <c r="I5" s="201"/>
      <c r="J5" s="201"/>
      <c r="K5" s="202"/>
    </row>
    <row r="6" spans="1:11">
      <c r="A6" s="194" t="s">
        <v>0</v>
      </c>
      <c r="B6" s="195" t="s">
        <v>1</v>
      </c>
      <c r="C6" s="195" t="s">
        <v>2</v>
      </c>
      <c r="D6" s="197" t="s">
        <v>3</v>
      </c>
      <c r="E6" s="198" t="s">
        <v>4</v>
      </c>
      <c r="F6" s="199" t="s">
        <v>5</v>
      </c>
      <c r="G6" s="204" t="s">
        <v>6</v>
      </c>
      <c r="H6" s="204" t="s">
        <v>7</v>
      </c>
      <c r="I6" s="204"/>
      <c r="J6" s="203" t="s">
        <v>8</v>
      </c>
      <c r="K6" s="203" t="s">
        <v>5</v>
      </c>
    </row>
    <row r="7" spans="1:11">
      <c r="A7" s="194"/>
      <c r="B7" s="196"/>
      <c r="C7" s="195"/>
      <c r="D7" s="197"/>
      <c r="E7" s="198"/>
      <c r="F7" s="199"/>
      <c r="G7" s="204"/>
      <c r="H7" s="66" t="s">
        <v>9</v>
      </c>
      <c r="I7" s="66" t="s">
        <v>10</v>
      </c>
      <c r="J7" s="203"/>
      <c r="K7" s="203"/>
    </row>
    <row r="8" spans="1:11">
      <c r="A8" s="70">
        <v>1</v>
      </c>
      <c r="B8" s="27">
        <v>1</v>
      </c>
      <c r="C8" s="72" t="s">
        <v>11</v>
      </c>
      <c r="D8" s="22">
        <v>22258.53</v>
      </c>
      <c r="E8" s="45">
        <v>6686.3</v>
      </c>
      <c r="F8" s="26">
        <f>E8/D8</f>
        <v>0.30039270338158003</v>
      </c>
      <c r="G8" s="23" t="s">
        <v>12</v>
      </c>
      <c r="H8" s="24" t="s">
        <v>13</v>
      </c>
      <c r="I8" s="24" t="s">
        <v>14</v>
      </c>
      <c r="J8" s="22">
        <f>D8-E8</f>
        <v>15572.23</v>
      </c>
      <c r="K8" s="62">
        <f>J8/D8</f>
        <v>0.69960729661842003</v>
      </c>
    </row>
    <row r="9" spans="1:11">
      <c r="A9" s="71">
        <f>A8+1</f>
        <v>2</v>
      </c>
      <c r="B9" s="10"/>
      <c r="C9" s="11" t="s">
        <v>15</v>
      </c>
      <c r="D9" s="12">
        <v>13994.7</v>
      </c>
      <c r="E9" s="16">
        <v>3669.58</v>
      </c>
      <c r="F9" s="13">
        <f t="shared" ref="F9:F72" si="0">E9/D9</f>
        <v>0.26221212316091091</v>
      </c>
      <c r="G9" s="14" t="s">
        <v>12</v>
      </c>
      <c r="H9" s="9" t="s">
        <v>13</v>
      </c>
      <c r="I9" s="9" t="s">
        <v>14</v>
      </c>
      <c r="J9" s="12">
        <f t="shared" ref="J9:J58" si="1">D9-E9</f>
        <v>10325.120000000001</v>
      </c>
      <c r="K9" s="60">
        <f t="shared" ref="K9:K72" si="2">J9/D9</f>
        <v>0.73778787683908909</v>
      </c>
    </row>
    <row r="10" spans="1:11">
      <c r="A10" s="71">
        <f t="shared" ref="A10:A66" si="3">A9+1</f>
        <v>3</v>
      </c>
      <c r="B10" s="10"/>
      <c r="C10" s="11" t="s">
        <v>16</v>
      </c>
      <c r="D10" s="12">
        <v>1351.56</v>
      </c>
      <c r="E10" s="16">
        <v>619.26</v>
      </c>
      <c r="F10" s="13">
        <f t="shared" si="0"/>
        <v>0.45818165675219746</v>
      </c>
      <c r="G10" s="14" t="s">
        <v>12</v>
      </c>
      <c r="H10" s="9" t="s">
        <v>13</v>
      </c>
      <c r="I10" s="9" t="s">
        <v>14</v>
      </c>
      <c r="J10" s="12">
        <f t="shared" si="1"/>
        <v>732.3</v>
      </c>
      <c r="K10" s="60">
        <f t="shared" si="2"/>
        <v>0.54181834324780254</v>
      </c>
    </row>
    <row r="11" spans="1:11">
      <c r="A11" s="71">
        <f t="shared" si="3"/>
        <v>4</v>
      </c>
      <c r="B11" s="24"/>
      <c r="C11" s="11" t="s">
        <v>17</v>
      </c>
      <c r="D11" s="12">
        <v>902.25</v>
      </c>
      <c r="E11" s="16">
        <f>120+782.25</f>
        <v>902.25</v>
      </c>
      <c r="F11" s="13">
        <f t="shared" si="0"/>
        <v>1</v>
      </c>
      <c r="G11" s="165" t="s">
        <v>12</v>
      </c>
      <c r="H11" s="9" t="s">
        <v>13</v>
      </c>
      <c r="I11" s="9" t="s">
        <v>14</v>
      </c>
      <c r="J11" s="12">
        <f t="shared" si="1"/>
        <v>0</v>
      </c>
      <c r="K11" s="60">
        <f t="shared" si="2"/>
        <v>0</v>
      </c>
    </row>
    <row r="12" spans="1:11" ht="130.5">
      <c r="A12" s="71">
        <f t="shared" si="3"/>
        <v>5</v>
      </c>
      <c r="B12" s="27">
        <v>2</v>
      </c>
      <c r="C12" s="11" t="s">
        <v>19</v>
      </c>
      <c r="D12" s="12">
        <v>70206</v>
      </c>
      <c r="E12" s="16">
        <v>49275</v>
      </c>
      <c r="F12" s="13">
        <f t="shared" si="0"/>
        <v>0.70186308862490387</v>
      </c>
      <c r="G12" s="14" t="s">
        <v>232</v>
      </c>
      <c r="H12" s="9" t="s">
        <v>13</v>
      </c>
      <c r="I12" s="9" t="s">
        <v>14</v>
      </c>
      <c r="J12" s="12">
        <f t="shared" si="1"/>
        <v>20931</v>
      </c>
      <c r="K12" s="60">
        <f t="shared" si="2"/>
        <v>0.29813691137509613</v>
      </c>
    </row>
    <row r="13" spans="1:11">
      <c r="A13" s="71">
        <f t="shared" si="3"/>
        <v>6</v>
      </c>
      <c r="B13" s="10"/>
      <c r="C13" s="11" t="s">
        <v>20</v>
      </c>
      <c r="D13" s="12">
        <v>120000</v>
      </c>
      <c r="E13" s="16">
        <v>99333</v>
      </c>
      <c r="F13" s="13">
        <f t="shared" si="0"/>
        <v>0.82777500000000004</v>
      </c>
      <c r="G13" s="14" t="s">
        <v>21</v>
      </c>
      <c r="H13" s="9" t="s">
        <v>13</v>
      </c>
      <c r="I13" s="9" t="s">
        <v>14</v>
      </c>
      <c r="J13" s="12">
        <f t="shared" si="1"/>
        <v>20667</v>
      </c>
      <c r="K13" s="60">
        <f t="shared" si="2"/>
        <v>0.17222499999999999</v>
      </c>
    </row>
    <row r="14" spans="1:11">
      <c r="A14" s="71">
        <f t="shared" si="3"/>
        <v>7</v>
      </c>
      <c r="B14" s="10"/>
      <c r="C14" s="11" t="s">
        <v>22</v>
      </c>
      <c r="D14" s="12">
        <v>0</v>
      </c>
      <c r="E14" s="16">
        <v>0</v>
      </c>
      <c r="F14" s="16">
        <v>0</v>
      </c>
      <c r="G14" s="9" t="s">
        <v>14</v>
      </c>
      <c r="H14" s="9" t="s">
        <v>14</v>
      </c>
      <c r="I14" s="9" t="s">
        <v>14</v>
      </c>
      <c r="J14" s="12">
        <f t="shared" si="1"/>
        <v>0</v>
      </c>
      <c r="K14" s="12">
        <v>0</v>
      </c>
    </row>
    <row r="15" spans="1:11">
      <c r="A15" s="71">
        <f t="shared" si="3"/>
        <v>8</v>
      </c>
      <c r="B15" s="24"/>
      <c r="C15" s="11" t="s">
        <v>23</v>
      </c>
      <c r="D15" s="12">
        <v>85170</v>
      </c>
      <c r="E15" s="48">
        <v>53989</v>
      </c>
      <c r="F15" s="13">
        <f t="shared" si="0"/>
        <v>0.63389691205823651</v>
      </c>
      <c r="G15" s="14" t="s">
        <v>21</v>
      </c>
      <c r="H15" s="9" t="s">
        <v>13</v>
      </c>
      <c r="I15" s="9" t="s">
        <v>14</v>
      </c>
      <c r="J15" s="12">
        <f t="shared" si="1"/>
        <v>31181</v>
      </c>
      <c r="K15" s="60">
        <f t="shared" si="2"/>
        <v>0.36610308794176355</v>
      </c>
    </row>
    <row r="16" spans="1:11">
      <c r="A16" s="71">
        <f t="shared" si="3"/>
        <v>9</v>
      </c>
      <c r="B16" s="27">
        <v>3</v>
      </c>
      <c r="C16" s="11" t="s">
        <v>24</v>
      </c>
      <c r="D16" s="12">
        <v>24376</v>
      </c>
      <c r="E16" s="16">
        <v>3360</v>
      </c>
      <c r="F16" s="13">
        <f t="shared" si="0"/>
        <v>0.13784049885132918</v>
      </c>
      <c r="G16" s="14" t="s">
        <v>25</v>
      </c>
      <c r="H16" s="9" t="s">
        <v>13</v>
      </c>
      <c r="I16" s="9" t="s">
        <v>14</v>
      </c>
      <c r="J16" s="12">
        <f t="shared" si="1"/>
        <v>21016</v>
      </c>
      <c r="K16" s="60">
        <f t="shared" si="2"/>
        <v>0.86215950114867079</v>
      </c>
    </row>
    <row r="17" spans="1:15">
      <c r="A17" s="71">
        <f t="shared" si="3"/>
        <v>10</v>
      </c>
      <c r="B17" s="10"/>
      <c r="C17" s="11" t="s">
        <v>26</v>
      </c>
      <c r="D17" s="12">
        <v>28390</v>
      </c>
      <c r="E17" s="16">
        <v>19935.64</v>
      </c>
      <c r="F17" s="13">
        <f t="shared" si="0"/>
        <v>0.70220641070799572</v>
      </c>
      <c r="G17" s="14" t="s">
        <v>215</v>
      </c>
      <c r="H17" s="9" t="s">
        <v>13</v>
      </c>
      <c r="I17" s="9" t="s">
        <v>14</v>
      </c>
      <c r="J17" s="12">
        <f t="shared" si="1"/>
        <v>8454.36</v>
      </c>
      <c r="K17" s="60">
        <f t="shared" si="2"/>
        <v>0.29779358929200422</v>
      </c>
    </row>
    <row r="18" spans="1:15">
      <c r="A18" s="71">
        <f t="shared" si="3"/>
        <v>11</v>
      </c>
      <c r="B18" s="10"/>
      <c r="C18" s="11" t="s">
        <v>28</v>
      </c>
      <c r="D18" s="12">
        <v>36957</v>
      </c>
      <c r="E18" s="16">
        <v>0</v>
      </c>
      <c r="F18" s="13">
        <f t="shared" si="0"/>
        <v>0</v>
      </c>
      <c r="G18" s="9" t="s">
        <v>14</v>
      </c>
      <c r="H18" s="9" t="s">
        <v>14</v>
      </c>
      <c r="I18" s="9" t="s">
        <v>14</v>
      </c>
      <c r="J18" s="12">
        <f t="shared" si="1"/>
        <v>36957</v>
      </c>
      <c r="K18" s="60">
        <f t="shared" si="2"/>
        <v>1</v>
      </c>
    </row>
    <row r="19" spans="1:15">
      <c r="A19" s="71">
        <f t="shared" si="3"/>
        <v>12</v>
      </c>
      <c r="B19" s="10"/>
      <c r="C19" s="11" t="s">
        <v>29</v>
      </c>
      <c r="D19" s="12">
        <v>23000</v>
      </c>
      <c r="E19" s="16">
        <v>23000</v>
      </c>
      <c r="F19" s="13">
        <f t="shared" si="0"/>
        <v>1</v>
      </c>
      <c r="G19" s="14" t="s">
        <v>27</v>
      </c>
      <c r="H19" s="9" t="s">
        <v>13</v>
      </c>
      <c r="I19" s="9" t="s">
        <v>14</v>
      </c>
      <c r="J19" s="12">
        <f t="shared" si="1"/>
        <v>0</v>
      </c>
      <c r="K19" s="60">
        <f t="shared" si="2"/>
        <v>0</v>
      </c>
    </row>
    <row r="20" spans="1:15" ht="87">
      <c r="A20" s="71">
        <f t="shared" si="3"/>
        <v>13</v>
      </c>
      <c r="B20" s="27">
        <v>4</v>
      </c>
      <c r="C20" s="74" t="s">
        <v>30</v>
      </c>
      <c r="D20" s="16">
        <v>27589.5</v>
      </c>
      <c r="E20" s="16">
        <v>8337.5</v>
      </c>
      <c r="F20" s="13">
        <f t="shared" si="0"/>
        <v>0.30219830007792819</v>
      </c>
      <c r="G20" s="18" t="s">
        <v>31</v>
      </c>
      <c r="H20" s="19" t="s">
        <v>13</v>
      </c>
      <c r="I20" s="19" t="s">
        <v>14</v>
      </c>
      <c r="J20" s="12">
        <f t="shared" si="1"/>
        <v>19252</v>
      </c>
      <c r="K20" s="60">
        <f t="shared" si="2"/>
        <v>0.69780169992207175</v>
      </c>
    </row>
    <row r="21" spans="1:15" ht="65.25">
      <c r="A21" s="71">
        <f t="shared" si="3"/>
        <v>14</v>
      </c>
      <c r="B21" s="10"/>
      <c r="C21" s="74" t="s">
        <v>32</v>
      </c>
      <c r="D21" s="16">
        <v>126940.75</v>
      </c>
      <c r="E21" s="16">
        <v>8925</v>
      </c>
      <c r="F21" s="13">
        <f t="shared" si="0"/>
        <v>7.0308391907248066E-2</v>
      </c>
      <c r="G21" s="18" t="s">
        <v>33</v>
      </c>
      <c r="H21" s="19" t="s">
        <v>13</v>
      </c>
      <c r="I21" s="19" t="s">
        <v>14</v>
      </c>
      <c r="J21" s="12">
        <f t="shared" si="1"/>
        <v>118015.75</v>
      </c>
      <c r="K21" s="60">
        <f t="shared" si="2"/>
        <v>0.92969160809275198</v>
      </c>
    </row>
    <row r="22" spans="1:15" ht="152.25">
      <c r="A22" s="71">
        <f t="shared" si="3"/>
        <v>15</v>
      </c>
      <c r="B22" s="10"/>
      <c r="C22" s="74" t="s">
        <v>34</v>
      </c>
      <c r="D22" s="51">
        <v>10940.25</v>
      </c>
      <c r="E22" s="51">
        <v>9255</v>
      </c>
      <c r="F22" s="13">
        <f t="shared" si="0"/>
        <v>0.84595873037636249</v>
      </c>
      <c r="G22" s="18" t="s">
        <v>35</v>
      </c>
      <c r="H22" s="19" t="s">
        <v>13</v>
      </c>
      <c r="I22" s="19" t="s">
        <v>14</v>
      </c>
      <c r="J22" s="12">
        <f t="shared" si="1"/>
        <v>1685.25</v>
      </c>
      <c r="K22" s="60">
        <f t="shared" si="2"/>
        <v>0.15404126962363748</v>
      </c>
    </row>
    <row r="23" spans="1:15" ht="65.25">
      <c r="A23" s="71">
        <f t="shared" si="3"/>
        <v>16</v>
      </c>
      <c r="B23" s="10"/>
      <c r="C23" s="74" t="s">
        <v>36</v>
      </c>
      <c r="D23" s="16">
        <v>4293</v>
      </c>
      <c r="E23" s="16">
        <v>1830</v>
      </c>
      <c r="F23" s="13">
        <f t="shared" si="0"/>
        <v>0.42627533193570927</v>
      </c>
      <c r="G23" s="18" t="s">
        <v>37</v>
      </c>
      <c r="H23" s="19" t="s">
        <v>13</v>
      </c>
      <c r="I23" s="19" t="s">
        <v>14</v>
      </c>
      <c r="J23" s="12">
        <f t="shared" si="1"/>
        <v>2463</v>
      </c>
      <c r="K23" s="60">
        <f t="shared" si="2"/>
        <v>0.57372466806429068</v>
      </c>
    </row>
    <row r="24" spans="1:15" ht="282.75">
      <c r="A24" s="71">
        <f t="shared" si="3"/>
        <v>17</v>
      </c>
      <c r="B24" s="27">
        <v>5</v>
      </c>
      <c r="C24" s="11" t="s">
        <v>38</v>
      </c>
      <c r="D24" s="16">
        <v>421342.54</v>
      </c>
      <c r="E24" s="16">
        <f>290000</f>
        <v>290000</v>
      </c>
      <c r="F24" s="13">
        <f t="shared" si="0"/>
        <v>0.68827609953649593</v>
      </c>
      <c r="G24" s="18" t="s">
        <v>217</v>
      </c>
      <c r="H24" s="19" t="s">
        <v>13</v>
      </c>
      <c r="I24" s="19" t="s">
        <v>14</v>
      </c>
      <c r="J24" s="12">
        <f t="shared" si="1"/>
        <v>131342.53999999998</v>
      </c>
      <c r="K24" s="60">
        <f t="shared" si="2"/>
        <v>0.31172390046350407</v>
      </c>
      <c r="O24" s="5">
        <v>962357.54</v>
      </c>
    </row>
    <row r="25" spans="1:15" ht="108.75">
      <c r="A25" s="71">
        <f>A24+1</f>
        <v>18</v>
      </c>
      <c r="B25" s="10"/>
      <c r="C25" s="11" t="s">
        <v>39</v>
      </c>
      <c r="D25" s="16">
        <v>144923</v>
      </c>
      <c r="E25" s="16">
        <v>83097.759999999995</v>
      </c>
      <c r="F25" s="13">
        <f t="shared" si="0"/>
        <v>0.57339249118497404</v>
      </c>
      <c r="G25" s="14" t="s">
        <v>250</v>
      </c>
      <c r="H25" s="19" t="s">
        <v>13</v>
      </c>
      <c r="I25" s="19" t="s">
        <v>14</v>
      </c>
      <c r="J25" s="12">
        <f t="shared" si="1"/>
        <v>61825.240000000005</v>
      </c>
      <c r="K25" s="60">
        <f t="shared" si="2"/>
        <v>0.42660750881502596</v>
      </c>
    </row>
    <row r="26" spans="1:15" ht="65.25">
      <c r="A26" s="71">
        <f>A25+1</f>
        <v>19</v>
      </c>
      <c r="B26" s="10"/>
      <c r="C26" s="11" t="s">
        <v>40</v>
      </c>
      <c r="D26" s="16">
        <v>346092</v>
      </c>
      <c r="E26" s="16">
        <v>213501.59</v>
      </c>
      <c r="F26" s="13">
        <f t="shared" si="0"/>
        <v>0.61689258925372448</v>
      </c>
      <c r="G26" s="18" t="s">
        <v>41</v>
      </c>
      <c r="H26" s="19" t="s">
        <v>13</v>
      </c>
      <c r="I26" s="19" t="s">
        <v>14</v>
      </c>
      <c r="J26" s="12">
        <f t="shared" si="1"/>
        <v>132590.41</v>
      </c>
      <c r="K26" s="60">
        <f t="shared" si="2"/>
        <v>0.38310741074627558</v>
      </c>
    </row>
    <row r="27" spans="1:15" ht="87">
      <c r="A27" s="71">
        <f t="shared" si="3"/>
        <v>20</v>
      </c>
      <c r="B27" s="10"/>
      <c r="C27" s="11" t="s">
        <v>43</v>
      </c>
      <c r="D27" s="16">
        <v>50000</v>
      </c>
      <c r="E27" s="16">
        <v>30000</v>
      </c>
      <c r="F27" s="13">
        <f t="shared" si="0"/>
        <v>0.6</v>
      </c>
      <c r="G27" s="18" t="s">
        <v>244</v>
      </c>
      <c r="H27" s="19" t="s">
        <v>44</v>
      </c>
      <c r="I27" s="19" t="s">
        <v>44</v>
      </c>
      <c r="J27" s="12">
        <f t="shared" si="1"/>
        <v>20000</v>
      </c>
      <c r="K27" s="60">
        <f t="shared" si="2"/>
        <v>0.4</v>
      </c>
    </row>
    <row r="28" spans="1:15">
      <c r="A28" s="71">
        <f t="shared" si="3"/>
        <v>21</v>
      </c>
      <c r="B28" s="27">
        <v>6</v>
      </c>
      <c r="C28" s="11" t="s">
        <v>45</v>
      </c>
      <c r="D28" s="12">
        <v>0</v>
      </c>
      <c r="E28" s="16">
        <v>0</v>
      </c>
      <c r="F28" s="12">
        <v>0</v>
      </c>
      <c r="G28" s="9" t="s">
        <v>14</v>
      </c>
      <c r="H28" s="9" t="s">
        <v>14</v>
      </c>
      <c r="I28" s="9" t="s">
        <v>14</v>
      </c>
      <c r="J28" s="12">
        <f t="shared" si="1"/>
        <v>0</v>
      </c>
      <c r="K28" s="12">
        <v>0</v>
      </c>
    </row>
    <row r="29" spans="1:15" ht="130.5">
      <c r="A29" s="71">
        <f t="shared" si="3"/>
        <v>22</v>
      </c>
      <c r="B29" s="10"/>
      <c r="C29" s="11" t="s">
        <v>46</v>
      </c>
      <c r="D29" s="12">
        <v>10090000</v>
      </c>
      <c r="E29" s="51">
        <f>8790000+150000</f>
        <v>8940000</v>
      </c>
      <c r="F29" s="13">
        <f t="shared" si="0"/>
        <v>0.88602576808721512</v>
      </c>
      <c r="G29" s="14" t="s">
        <v>137</v>
      </c>
      <c r="H29" s="9" t="s">
        <v>14</v>
      </c>
      <c r="I29" s="9" t="s">
        <v>13</v>
      </c>
      <c r="J29" s="12">
        <f t="shared" si="1"/>
        <v>1150000</v>
      </c>
      <c r="K29" s="60">
        <f t="shared" si="2"/>
        <v>0.11397423191278494</v>
      </c>
    </row>
    <row r="30" spans="1:15" ht="130.5">
      <c r="A30" s="71">
        <f t="shared" si="3"/>
        <v>23</v>
      </c>
      <c r="B30" s="10"/>
      <c r="C30" s="11" t="s">
        <v>47</v>
      </c>
      <c r="D30" s="52">
        <v>167000</v>
      </c>
      <c r="E30" s="51">
        <f>50704+4860</f>
        <v>55564</v>
      </c>
      <c r="F30" s="13">
        <f t="shared" si="0"/>
        <v>0.3327185628742515</v>
      </c>
      <c r="G30" s="14" t="s">
        <v>138</v>
      </c>
      <c r="H30" s="9" t="s">
        <v>13</v>
      </c>
      <c r="I30" s="9" t="s">
        <v>13</v>
      </c>
      <c r="J30" s="12">
        <f t="shared" si="1"/>
        <v>111436</v>
      </c>
      <c r="K30" s="60">
        <f t="shared" si="2"/>
        <v>0.6672814371257485</v>
      </c>
    </row>
    <row r="31" spans="1:15" ht="65.25">
      <c r="A31" s="71">
        <f t="shared" si="3"/>
        <v>24</v>
      </c>
      <c r="B31" s="10"/>
      <c r="C31" s="11" t="s">
        <v>48</v>
      </c>
      <c r="D31" s="52">
        <v>780031</v>
      </c>
      <c r="E31" s="51">
        <v>293317</v>
      </c>
      <c r="F31" s="13">
        <f t="shared" si="0"/>
        <v>0.3760324910163827</v>
      </c>
      <c r="G31" s="14" t="s">
        <v>49</v>
      </c>
      <c r="H31" s="9" t="s">
        <v>13</v>
      </c>
      <c r="I31" s="9" t="s">
        <v>14</v>
      </c>
      <c r="J31" s="12">
        <f t="shared" si="1"/>
        <v>486714</v>
      </c>
      <c r="K31" s="60">
        <f t="shared" si="2"/>
        <v>0.6239675089836173</v>
      </c>
    </row>
    <row r="32" spans="1:15" ht="261">
      <c r="A32" s="71">
        <f t="shared" si="3"/>
        <v>25</v>
      </c>
      <c r="B32" s="24"/>
      <c r="C32" s="11" t="s">
        <v>50</v>
      </c>
      <c r="D32" s="12">
        <v>98550</v>
      </c>
      <c r="E32" s="51">
        <v>78009</v>
      </c>
      <c r="F32" s="13">
        <f t="shared" si="0"/>
        <v>0.79156773211567732</v>
      </c>
      <c r="G32" s="14" t="s">
        <v>51</v>
      </c>
      <c r="H32" s="9" t="s">
        <v>13</v>
      </c>
      <c r="I32" s="9" t="s">
        <v>14</v>
      </c>
      <c r="J32" s="12">
        <f t="shared" si="1"/>
        <v>20541</v>
      </c>
      <c r="K32" s="60">
        <f t="shared" si="2"/>
        <v>0.20843226788432268</v>
      </c>
    </row>
    <row r="33" spans="1:11" ht="43.5">
      <c r="A33" s="46">
        <f t="shared" si="3"/>
        <v>26</v>
      </c>
      <c r="B33" s="10"/>
      <c r="C33" s="47" t="s">
        <v>52</v>
      </c>
      <c r="D33" s="12">
        <v>24000</v>
      </c>
      <c r="E33" s="16">
        <v>10800</v>
      </c>
      <c r="F33" s="13">
        <f t="shared" si="0"/>
        <v>0.45</v>
      </c>
      <c r="G33" s="14" t="s">
        <v>53</v>
      </c>
      <c r="H33" s="9" t="s">
        <v>18</v>
      </c>
      <c r="I33" s="9" t="s">
        <v>14</v>
      </c>
      <c r="J33" s="12">
        <f t="shared" si="1"/>
        <v>13200</v>
      </c>
      <c r="K33" s="60">
        <f t="shared" si="2"/>
        <v>0.55000000000000004</v>
      </c>
    </row>
    <row r="34" spans="1:11" ht="65.25">
      <c r="A34" s="71">
        <f t="shared" si="3"/>
        <v>27</v>
      </c>
      <c r="B34" s="27">
        <v>7</v>
      </c>
      <c r="C34" s="11" t="s">
        <v>54</v>
      </c>
      <c r="D34" s="16">
        <v>191156</v>
      </c>
      <c r="E34" s="16">
        <f>143311.5+41868.5</f>
        <v>185180</v>
      </c>
      <c r="F34" s="13">
        <f t="shared" si="0"/>
        <v>0.96873757559270957</v>
      </c>
      <c r="G34" s="18" t="s">
        <v>55</v>
      </c>
      <c r="H34" s="19" t="s">
        <v>13</v>
      </c>
      <c r="I34" s="19" t="s">
        <v>13</v>
      </c>
      <c r="J34" s="12">
        <f t="shared" si="1"/>
        <v>5976</v>
      </c>
      <c r="K34" s="60">
        <f t="shared" si="2"/>
        <v>3.1262424407290379E-2</v>
      </c>
    </row>
    <row r="35" spans="1:11" ht="87">
      <c r="A35" s="71">
        <f t="shared" si="3"/>
        <v>28</v>
      </c>
      <c r="B35" s="10"/>
      <c r="C35" s="11" t="s">
        <v>56</v>
      </c>
      <c r="D35" s="16">
        <v>206878</v>
      </c>
      <c r="E35" s="50">
        <f>89420+9318.15</f>
        <v>98738.15</v>
      </c>
      <c r="F35" s="13">
        <f t="shared" si="0"/>
        <v>0.47727718752114773</v>
      </c>
      <c r="G35" s="18" t="s">
        <v>248</v>
      </c>
      <c r="H35" s="19" t="s">
        <v>13</v>
      </c>
      <c r="I35" s="19" t="s">
        <v>13</v>
      </c>
      <c r="J35" s="12">
        <f t="shared" si="1"/>
        <v>108139.85</v>
      </c>
      <c r="K35" s="60">
        <f t="shared" si="2"/>
        <v>0.52272281247885233</v>
      </c>
    </row>
    <row r="36" spans="1:11" ht="174">
      <c r="A36" s="71">
        <f t="shared" si="3"/>
        <v>29</v>
      </c>
      <c r="B36" s="10"/>
      <c r="C36" s="11" t="s">
        <v>57</v>
      </c>
      <c r="D36" s="51">
        <v>356608</v>
      </c>
      <c r="E36" s="51">
        <f>82044.1+29074.45</f>
        <v>111118.55</v>
      </c>
      <c r="F36" s="13">
        <f t="shared" si="0"/>
        <v>0.31159859004845658</v>
      </c>
      <c r="G36" s="18" t="s">
        <v>58</v>
      </c>
      <c r="H36" s="19"/>
      <c r="I36" s="19" t="s">
        <v>13</v>
      </c>
      <c r="J36" s="12">
        <f t="shared" si="1"/>
        <v>245489.45</v>
      </c>
      <c r="K36" s="60">
        <f t="shared" si="2"/>
        <v>0.68840140995154342</v>
      </c>
    </row>
    <row r="37" spans="1:11" ht="87">
      <c r="A37" s="71">
        <f>A36+1</f>
        <v>30</v>
      </c>
      <c r="B37" s="10"/>
      <c r="C37" s="11" t="s">
        <v>59</v>
      </c>
      <c r="D37" s="51">
        <v>145410</v>
      </c>
      <c r="E37" s="51">
        <f>109887.75+20000</f>
        <v>129887.75</v>
      </c>
      <c r="F37" s="13">
        <f t="shared" si="0"/>
        <v>0.89325183962588539</v>
      </c>
      <c r="G37" s="18" t="s">
        <v>60</v>
      </c>
      <c r="H37" s="19" t="s">
        <v>13</v>
      </c>
      <c r="I37" s="19" t="s">
        <v>13</v>
      </c>
      <c r="J37" s="12">
        <f t="shared" si="1"/>
        <v>15522.25</v>
      </c>
      <c r="K37" s="60">
        <f t="shared" si="2"/>
        <v>0.10674816037411457</v>
      </c>
    </row>
    <row r="38" spans="1:11" ht="87">
      <c r="A38" s="71">
        <f t="shared" si="3"/>
        <v>31</v>
      </c>
      <c r="B38" s="10"/>
      <c r="C38" s="11" t="s">
        <v>61</v>
      </c>
      <c r="D38" s="51">
        <v>556680</v>
      </c>
      <c r="E38" s="51">
        <f>237718.15</f>
        <v>237718.15</v>
      </c>
      <c r="F38" s="13">
        <f t="shared" si="0"/>
        <v>0.42702836459006971</v>
      </c>
      <c r="G38" s="18" t="s">
        <v>62</v>
      </c>
      <c r="H38" s="19" t="s">
        <v>13</v>
      </c>
      <c r="I38" s="19" t="s">
        <v>13</v>
      </c>
      <c r="J38" s="12">
        <f t="shared" si="1"/>
        <v>318961.84999999998</v>
      </c>
      <c r="K38" s="60">
        <f t="shared" si="2"/>
        <v>0.57297163540993024</v>
      </c>
    </row>
    <row r="39" spans="1:11" ht="43.5">
      <c r="A39" s="71">
        <f t="shared" si="3"/>
        <v>32</v>
      </c>
      <c r="B39" s="27">
        <v>8</v>
      </c>
      <c r="C39" s="11" t="s">
        <v>63</v>
      </c>
      <c r="D39" s="12">
        <v>464000</v>
      </c>
      <c r="E39" s="16">
        <f>87188+1870</f>
        <v>89058</v>
      </c>
      <c r="F39" s="13">
        <f t="shared" si="0"/>
        <v>0.1919353448275862</v>
      </c>
      <c r="G39" s="14" t="s">
        <v>139</v>
      </c>
      <c r="H39" s="9" t="s">
        <v>13</v>
      </c>
      <c r="I39" s="9" t="s">
        <v>14</v>
      </c>
      <c r="J39" s="12">
        <f t="shared" si="1"/>
        <v>374942</v>
      </c>
      <c r="K39" s="60">
        <f t="shared" si="2"/>
        <v>0.80806465517241377</v>
      </c>
    </row>
    <row r="40" spans="1:11">
      <c r="A40" s="71">
        <f t="shared" si="3"/>
        <v>33</v>
      </c>
      <c r="B40" s="10"/>
      <c r="C40" s="11" t="s">
        <v>65</v>
      </c>
      <c r="D40" s="12">
        <v>934598</v>
      </c>
      <c r="E40" s="16">
        <f>395241+83380</f>
        <v>478621</v>
      </c>
      <c r="F40" s="13">
        <f t="shared" si="0"/>
        <v>0.51211429941001374</v>
      </c>
      <c r="G40" s="14" t="s">
        <v>64</v>
      </c>
      <c r="H40" s="9" t="s">
        <v>13</v>
      </c>
      <c r="I40" s="9"/>
      <c r="J40" s="12">
        <f t="shared" si="1"/>
        <v>455977</v>
      </c>
      <c r="K40" s="60">
        <f t="shared" si="2"/>
        <v>0.48788570058998626</v>
      </c>
    </row>
    <row r="41" spans="1:11">
      <c r="A41" s="71">
        <f t="shared" si="3"/>
        <v>34</v>
      </c>
      <c r="B41" s="10"/>
      <c r="C41" s="11" t="s">
        <v>66</v>
      </c>
      <c r="D41" s="12">
        <v>0</v>
      </c>
      <c r="E41" s="16">
        <v>0</v>
      </c>
      <c r="F41" s="16">
        <v>0</v>
      </c>
      <c r="G41" s="9" t="s">
        <v>14</v>
      </c>
      <c r="H41" s="9" t="s">
        <v>14</v>
      </c>
      <c r="I41" s="9" t="s">
        <v>14</v>
      </c>
      <c r="J41" s="12">
        <f t="shared" si="1"/>
        <v>0</v>
      </c>
      <c r="K41" s="31" t="s">
        <v>14</v>
      </c>
    </row>
    <row r="42" spans="1:11">
      <c r="A42" s="71">
        <f t="shared" si="3"/>
        <v>35</v>
      </c>
      <c r="B42" s="10"/>
      <c r="C42" s="11" t="s">
        <v>67</v>
      </c>
      <c r="D42" s="12">
        <v>652896</v>
      </c>
      <c r="E42" s="16">
        <f>188295+234101</f>
        <v>422396</v>
      </c>
      <c r="F42" s="13">
        <f t="shared" si="0"/>
        <v>0.64695755526148113</v>
      </c>
      <c r="G42" s="14" t="s">
        <v>64</v>
      </c>
      <c r="H42" s="9" t="s">
        <v>13</v>
      </c>
      <c r="I42" s="9"/>
      <c r="J42" s="12">
        <f t="shared" si="1"/>
        <v>230500</v>
      </c>
      <c r="K42" s="60">
        <f t="shared" si="2"/>
        <v>0.35304244473851887</v>
      </c>
    </row>
    <row r="43" spans="1:11" s="44" customFormat="1">
      <c r="A43" s="73">
        <f t="shared" si="3"/>
        <v>36</v>
      </c>
      <c r="B43" s="75"/>
      <c r="C43" s="74" t="s">
        <v>68</v>
      </c>
      <c r="D43" s="16">
        <v>440792</v>
      </c>
      <c r="E43" s="16">
        <v>357965</v>
      </c>
      <c r="F43" s="20">
        <f t="shared" si="0"/>
        <v>0.8120950470970435</v>
      </c>
      <c r="G43" s="18" t="s">
        <v>64</v>
      </c>
      <c r="H43" s="19" t="s">
        <v>13</v>
      </c>
      <c r="I43" s="19"/>
      <c r="J43" s="16">
        <f t="shared" si="1"/>
        <v>82827</v>
      </c>
      <c r="K43" s="17">
        <f t="shared" si="2"/>
        <v>0.1879049529029565</v>
      </c>
    </row>
    <row r="44" spans="1:11" ht="65.25">
      <c r="A44" s="71">
        <f t="shared" si="3"/>
        <v>37</v>
      </c>
      <c r="B44" s="27">
        <v>9</v>
      </c>
      <c r="C44" s="11" t="s">
        <v>69</v>
      </c>
      <c r="D44" s="12">
        <v>19176</v>
      </c>
      <c r="E44" s="16">
        <f>11+10+11</f>
        <v>32</v>
      </c>
      <c r="F44" s="162">
        <f t="shared" si="0"/>
        <v>1.6687526074259491E-3</v>
      </c>
      <c r="G44" s="14" t="s">
        <v>247</v>
      </c>
      <c r="H44" s="9" t="s">
        <v>13</v>
      </c>
      <c r="I44" s="9" t="s">
        <v>14</v>
      </c>
      <c r="J44" s="12">
        <f t="shared" si="1"/>
        <v>19144</v>
      </c>
      <c r="K44" s="163">
        <f t="shared" si="2"/>
        <v>0.99833124739257406</v>
      </c>
    </row>
    <row r="45" spans="1:11">
      <c r="A45" s="71">
        <f t="shared" si="3"/>
        <v>38</v>
      </c>
      <c r="B45" s="10"/>
      <c r="C45" s="11" t="s">
        <v>70</v>
      </c>
      <c r="D45" s="12">
        <v>15838</v>
      </c>
      <c r="E45" s="16">
        <f>4680+108</f>
        <v>4788</v>
      </c>
      <c r="F45" s="13">
        <f t="shared" si="0"/>
        <v>0.30231089784063642</v>
      </c>
      <c r="G45" s="14" t="s">
        <v>71</v>
      </c>
      <c r="H45" s="9" t="s">
        <v>13</v>
      </c>
      <c r="I45" s="9" t="s">
        <v>14</v>
      </c>
      <c r="J45" s="12">
        <f t="shared" si="1"/>
        <v>11050</v>
      </c>
      <c r="K45" s="60">
        <f t="shared" si="2"/>
        <v>0.69768910215936353</v>
      </c>
    </row>
    <row r="46" spans="1:11" ht="87">
      <c r="A46" s="71">
        <f>A45+1</f>
        <v>39</v>
      </c>
      <c r="B46" s="10"/>
      <c r="C46" s="11" t="s">
        <v>72</v>
      </c>
      <c r="D46" s="12">
        <v>10740</v>
      </c>
      <c r="E46" s="16">
        <f>3900+45</f>
        <v>3945</v>
      </c>
      <c r="F46" s="13">
        <f t="shared" si="0"/>
        <v>0.36731843575418993</v>
      </c>
      <c r="G46" s="14" t="s">
        <v>73</v>
      </c>
      <c r="H46" s="9" t="s">
        <v>13</v>
      </c>
      <c r="I46" s="9" t="s">
        <v>14</v>
      </c>
      <c r="J46" s="12">
        <f t="shared" si="1"/>
        <v>6795</v>
      </c>
      <c r="K46" s="60">
        <f t="shared" si="2"/>
        <v>0.63268156424581001</v>
      </c>
    </row>
    <row r="47" spans="1:11" ht="43.5">
      <c r="A47" s="71">
        <f>A46+1</f>
        <v>40</v>
      </c>
      <c r="B47" s="10"/>
      <c r="C47" s="11" t="s">
        <v>74</v>
      </c>
      <c r="D47" s="12">
        <v>99904</v>
      </c>
      <c r="E47" s="16">
        <v>1500</v>
      </c>
      <c r="F47" s="13">
        <f t="shared" si="0"/>
        <v>1.5014413837283792E-2</v>
      </c>
      <c r="G47" s="14" t="s">
        <v>75</v>
      </c>
      <c r="H47" s="9" t="s">
        <v>13</v>
      </c>
      <c r="I47" s="9" t="s">
        <v>14</v>
      </c>
      <c r="J47" s="12">
        <f t="shared" si="1"/>
        <v>98404</v>
      </c>
      <c r="K47" s="60">
        <f t="shared" si="2"/>
        <v>0.98498558616271625</v>
      </c>
    </row>
    <row r="48" spans="1:11">
      <c r="A48" s="71">
        <f t="shared" si="3"/>
        <v>41</v>
      </c>
      <c r="B48" s="10"/>
      <c r="C48" s="11" t="s">
        <v>76</v>
      </c>
      <c r="D48" s="12">
        <v>25816</v>
      </c>
      <c r="E48" s="12">
        <v>0</v>
      </c>
      <c r="F48" s="13">
        <f t="shared" si="0"/>
        <v>0</v>
      </c>
      <c r="G48" s="9" t="s">
        <v>14</v>
      </c>
      <c r="H48" s="9" t="s">
        <v>13</v>
      </c>
      <c r="I48" s="9" t="s">
        <v>14</v>
      </c>
      <c r="J48" s="12">
        <f t="shared" si="1"/>
        <v>25816</v>
      </c>
      <c r="K48" s="60">
        <f t="shared" si="2"/>
        <v>1</v>
      </c>
    </row>
    <row r="49" spans="1:11">
      <c r="A49" s="71">
        <f t="shared" si="3"/>
        <v>42</v>
      </c>
      <c r="B49" s="10"/>
      <c r="C49" s="11" t="s">
        <v>77</v>
      </c>
      <c r="D49" s="52">
        <v>14809</v>
      </c>
      <c r="E49" s="51">
        <v>6307</v>
      </c>
      <c r="F49" s="13">
        <f t="shared" si="0"/>
        <v>0.42588966169221421</v>
      </c>
      <c r="G49" s="14" t="s">
        <v>226</v>
      </c>
      <c r="H49" s="9" t="s">
        <v>13</v>
      </c>
      <c r="I49" s="9" t="s">
        <v>14</v>
      </c>
      <c r="J49" s="12">
        <f t="shared" si="1"/>
        <v>8502</v>
      </c>
      <c r="K49" s="60">
        <f t="shared" si="2"/>
        <v>0.57411033830778579</v>
      </c>
    </row>
    <row r="50" spans="1:11" ht="43.5">
      <c r="A50" s="71">
        <f t="shared" si="3"/>
        <v>43</v>
      </c>
      <c r="B50" s="27">
        <v>10</v>
      </c>
      <c r="C50" s="11" t="s">
        <v>78</v>
      </c>
      <c r="D50" s="12">
        <v>723691</v>
      </c>
      <c r="E50" s="16">
        <f>25370+320000</f>
        <v>345370</v>
      </c>
      <c r="F50" s="13">
        <f t="shared" si="0"/>
        <v>0.4772340681312881</v>
      </c>
      <c r="G50" s="14" t="s">
        <v>79</v>
      </c>
      <c r="H50" s="9" t="s">
        <v>13</v>
      </c>
      <c r="I50" s="9" t="s">
        <v>14</v>
      </c>
      <c r="J50" s="12">
        <f t="shared" si="1"/>
        <v>378321</v>
      </c>
      <c r="K50" s="60">
        <f t="shared" si="2"/>
        <v>0.5227659318687119</v>
      </c>
    </row>
    <row r="51" spans="1:11" ht="87">
      <c r="A51" s="71">
        <f t="shared" si="3"/>
        <v>44</v>
      </c>
      <c r="B51" s="10"/>
      <c r="C51" s="11" t="s">
        <v>80</v>
      </c>
      <c r="D51" s="52">
        <v>66562</v>
      </c>
      <c r="E51" s="51">
        <f>10113+17696</f>
        <v>27809</v>
      </c>
      <c r="F51" s="13">
        <f t="shared" si="0"/>
        <v>0.41779093176286769</v>
      </c>
      <c r="G51" s="14" t="s">
        <v>81</v>
      </c>
      <c r="H51" s="9" t="s">
        <v>13</v>
      </c>
      <c r="I51" s="9" t="s">
        <v>13</v>
      </c>
      <c r="J51" s="12">
        <f t="shared" si="1"/>
        <v>38753</v>
      </c>
      <c r="K51" s="60">
        <f t="shared" si="2"/>
        <v>0.58220906823713225</v>
      </c>
    </row>
    <row r="52" spans="1:11">
      <c r="A52" s="71">
        <f t="shared" si="3"/>
        <v>45</v>
      </c>
      <c r="B52" s="10"/>
      <c r="C52" s="11" t="s">
        <v>82</v>
      </c>
      <c r="D52" s="12">
        <v>45294</v>
      </c>
      <c r="E52" s="16">
        <v>15793</v>
      </c>
      <c r="F52" s="13">
        <f t="shared" si="0"/>
        <v>0.34867752903254295</v>
      </c>
      <c r="G52" s="14" t="s">
        <v>83</v>
      </c>
      <c r="H52" s="9" t="s">
        <v>13</v>
      </c>
      <c r="I52" s="9" t="s">
        <v>14</v>
      </c>
      <c r="J52" s="12">
        <f t="shared" si="1"/>
        <v>29501</v>
      </c>
      <c r="K52" s="60">
        <f t="shared" si="2"/>
        <v>0.6513224709674571</v>
      </c>
    </row>
    <row r="53" spans="1:11">
      <c r="A53" s="71">
        <f t="shared" si="3"/>
        <v>46</v>
      </c>
      <c r="B53" s="10"/>
      <c r="C53" s="11" t="s">
        <v>84</v>
      </c>
      <c r="D53" s="12">
        <v>30101</v>
      </c>
      <c r="E53" s="16">
        <v>27444</v>
      </c>
      <c r="F53" s="13">
        <f t="shared" si="0"/>
        <v>0.91173050729211658</v>
      </c>
      <c r="G53" s="14" t="s">
        <v>85</v>
      </c>
      <c r="H53" s="9" t="s">
        <v>13</v>
      </c>
      <c r="I53" s="9" t="s">
        <v>14</v>
      </c>
      <c r="J53" s="12">
        <f t="shared" si="1"/>
        <v>2657</v>
      </c>
      <c r="K53" s="60">
        <f t="shared" si="2"/>
        <v>8.8269492707883465E-2</v>
      </c>
    </row>
    <row r="54" spans="1:11" ht="43.5">
      <c r="A54" s="71">
        <f t="shared" si="3"/>
        <v>47</v>
      </c>
      <c r="B54" s="10"/>
      <c r="C54" s="11" t="s">
        <v>86</v>
      </c>
      <c r="D54" s="52">
        <v>29662</v>
      </c>
      <c r="E54" s="51">
        <v>29662</v>
      </c>
      <c r="F54" s="13">
        <f t="shared" si="0"/>
        <v>1</v>
      </c>
      <c r="G54" s="14" t="s">
        <v>243</v>
      </c>
      <c r="H54" s="9" t="s">
        <v>13</v>
      </c>
      <c r="I54" s="9" t="s">
        <v>14</v>
      </c>
      <c r="J54" s="12">
        <f t="shared" si="1"/>
        <v>0</v>
      </c>
      <c r="K54" s="60">
        <f t="shared" si="2"/>
        <v>0</v>
      </c>
    </row>
    <row r="55" spans="1:11">
      <c r="A55" s="71">
        <f t="shared" si="3"/>
        <v>48</v>
      </c>
      <c r="B55" s="27">
        <v>11</v>
      </c>
      <c r="C55" s="11" t="s">
        <v>87</v>
      </c>
      <c r="D55" s="16">
        <v>760825</v>
      </c>
      <c r="E55" s="16">
        <v>237661</v>
      </c>
      <c r="F55" s="13">
        <f t="shared" si="0"/>
        <v>0.31237275326126246</v>
      </c>
      <c r="G55" s="18" t="s">
        <v>88</v>
      </c>
      <c r="H55" s="19" t="s">
        <v>13</v>
      </c>
      <c r="I55" s="19" t="s">
        <v>14</v>
      </c>
      <c r="J55" s="12">
        <f t="shared" si="1"/>
        <v>523164</v>
      </c>
      <c r="K55" s="60">
        <f t="shared" si="2"/>
        <v>0.68762724673873754</v>
      </c>
    </row>
    <row r="56" spans="1:11">
      <c r="A56" s="71">
        <f t="shared" si="3"/>
        <v>49</v>
      </c>
      <c r="B56" s="10"/>
      <c r="C56" s="11" t="s">
        <v>89</v>
      </c>
      <c r="D56" s="16">
        <v>72463</v>
      </c>
      <c r="E56" s="16">
        <v>59924</v>
      </c>
      <c r="F56" s="13">
        <f t="shared" si="0"/>
        <v>0.82695996577563724</v>
      </c>
      <c r="G56" s="18" t="s">
        <v>88</v>
      </c>
      <c r="H56" s="19" t="s">
        <v>13</v>
      </c>
      <c r="I56" s="19" t="s">
        <v>14</v>
      </c>
      <c r="J56" s="12">
        <f t="shared" si="1"/>
        <v>12539</v>
      </c>
      <c r="K56" s="60">
        <f t="shared" si="2"/>
        <v>0.17304003422436279</v>
      </c>
    </row>
    <row r="57" spans="1:11">
      <c r="A57" s="71">
        <f t="shared" si="3"/>
        <v>50</v>
      </c>
      <c r="B57" s="10"/>
      <c r="C57" s="11" t="s">
        <v>90</v>
      </c>
      <c r="D57" s="16">
        <v>124736</v>
      </c>
      <c r="E57" s="16">
        <v>66863</v>
      </c>
      <c r="F57" s="13">
        <f t="shared" si="0"/>
        <v>0.53603610826064652</v>
      </c>
      <c r="G57" s="18" t="s">
        <v>88</v>
      </c>
      <c r="H57" s="19" t="s">
        <v>13</v>
      </c>
      <c r="I57" s="19" t="s">
        <v>14</v>
      </c>
      <c r="J57" s="12">
        <f t="shared" si="1"/>
        <v>57873</v>
      </c>
      <c r="K57" s="60">
        <f t="shared" si="2"/>
        <v>0.46396389173935354</v>
      </c>
    </row>
    <row r="58" spans="1:11">
      <c r="A58" s="71">
        <f t="shared" si="3"/>
        <v>51</v>
      </c>
      <c r="B58" s="10"/>
      <c r="C58" s="11" t="s">
        <v>91</v>
      </c>
      <c r="D58" s="16">
        <v>117784</v>
      </c>
      <c r="E58" s="16">
        <v>49560</v>
      </c>
      <c r="F58" s="13">
        <f t="shared" si="0"/>
        <v>0.42077022345989268</v>
      </c>
      <c r="G58" s="18" t="s">
        <v>88</v>
      </c>
      <c r="H58" s="19" t="s">
        <v>13</v>
      </c>
      <c r="I58" s="19" t="s">
        <v>14</v>
      </c>
      <c r="J58" s="12">
        <f t="shared" si="1"/>
        <v>68224</v>
      </c>
      <c r="K58" s="60">
        <f t="shared" si="2"/>
        <v>0.57922977654010732</v>
      </c>
    </row>
    <row r="59" spans="1:11" s="148" customFormat="1" ht="348">
      <c r="A59" s="147">
        <f t="shared" si="3"/>
        <v>52</v>
      </c>
      <c r="B59" s="21">
        <v>12</v>
      </c>
      <c r="C59" s="74" t="s">
        <v>92</v>
      </c>
      <c r="D59" s="51">
        <v>81745.600000000006</v>
      </c>
      <c r="E59" s="51">
        <v>64135.6</v>
      </c>
      <c r="F59" s="20">
        <f t="shared" si="0"/>
        <v>0.78457556125344963</v>
      </c>
      <c r="G59" s="134" t="s">
        <v>235</v>
      </c>
      <c r="H59" s="19" t="s">
        <v>13</v>
      </c>
      <c r="I59" s="19" t="s">
        <v>14</v>
      </c>
      <c r="J59" s="16">
        <f>D59-E59</f>
        <v>17610.000000000007</v>
      </c>
      <c r="K59" s="20">
        <f t="shared" si="2"/>
        <v>0.21542443874655035</v>
      </c>
    </row>
    <row r="60" spans="1:11" ht="409.5">
      <c r="A60" s="71">
        <f>A59+1</f>
        <v>53</v>
      </c>
      <c r="B60" s="10"/>
      <c r="C60" s="11" t="s">
        <v>93</v>
      </c>
      <c r="D60" s="51">
        <v>41038</v>
      </c>
      <c r="E60" s="51">
        <v>30615.5</v>
      </c>
      <c r="F60" s="20">
        <f t="shared" si="0"/>
        <v>0.74602807154344752</v>
      </c>
      <c r="G60" s="177" t="s">
        <v>236</v>
      </c>
      <c r="H60" s="19" t="s">
        <v>13</v>
      </c>
      <c r="I60" s="19" t="s">
        <v>13</v>
      </c>
      <c r="J60" s="16">
        <f>D60-E60</f>
        <v>10422.5</v>
      </c>
      <c r="K60" s="17">
        <f t="shared" si="2"/>
        <v>0.25397192845655248</v>
      </c>
    </row>
    <row r="61" spans="1:11" ht="174">
      <c r="A61" s="71">
        <f t="shared" si="3"/>
        <v>54</v>
      </c>
      <c r="B61" s="10"/>
      <c r="C61" s="11" t="s">
        <v>94</v>
      </c>
      <c r="D61" s="51">
        <v>41810.65</v>
      </c>
      <c r="E61" s="51">
        <v>32552.65</v>
      </c>
      <c r="F61" s="20">
        <f t="shared" si="0"/>
        <v>0.77857316257939069</v>
      </c>
      <c r="G61" s="177" t="s">
        <v>253</v>
      </c>
      <c r="H61" s="19" t="s">
        <v>13</v>
      </c>
      <c r="I61" s="19" t="s">
        <v>14</v>
      </c>
      <c r="J61" s="16">
        <f t="shared" ref="J61:J63" si="4">D61-E61</f>
        <v>9258</v>
      </c>
      <c r="K61" s="17">
        <f t="shared" si="2"/>
        <v>0.22142683742060934</v>
      </c>
    </row>
    <row r="62" spans="1:11" ht="409.5">
      <c r="A62" s="71">
        <f t="shared" si="3"/>
        <v>55</v>
      </c>
      <c r="B62" s="10"/>
      <c r="C62" s="11" t="s">
        <v>95</v>
      </c>
      <c r="D62" s="42">
        <v>38301</v>
      </c>
      <c r="E62" s="51">
        <v>30558.21</v>
      </c>
      <c r="F62" s="20">
        <f t="shared" si="0"/>
        <v>0.79784365943447955</v>
      </c>
      <c r="G62" s="177" t="s">
        <v>237</v>
      </c>
      <c r="H62" s="19"/>
      <c r="I62" s="19"/>
      <c r="J62" s="16">
        <f t="shared" si="4"/>
        <v>7742.7900000000009</v>
      </c>
      <c r="K62" s="17">
        <f t="shared" si="2"/>
        <v>0.20215634056552051</v>
      </c>
    </row>
    <row r="63" spans="1:11" ht="261">
      <c r="A63" s="71">
        <f>A62+1</f>
        <v>56</v>
      </c>
      <c r="B63" s="10"/>
      <c r="C63" s="11" t="s">
        <v>96</v>
      </c>
      <c r="D63" s="51">
        <v>176522.02</v>
      </c>
      <c r="E63" s="51">
        <v>29723.52</v>
      </c>
      <c r="F63" s="20">
        <f t="shared" si="0"/>
        <v>0.16838420498473788</v>
      </c>
      <c r="G63" s="177" t="s">
        <v>238</v>
      </c>
      <c r="H63" s="19" t="s">
        <v>13</v>
      </c>
      <c r="I63" s="19" t="s">
        <v>13</v>
      </c>
      <c r="J63" s="16">
        <f t="shared" si="4"/>
        <v>146798.5</v>
      </c>
      <c r="K63" s="17">
        <f t="shared" si="2"/>
        <v>0.83161579501526217</v>
      </c>
    </row>
    <row r="64" spans="1:11">
      <c r="A64" s="71">
        <f t="shared" si="3"/>
        <v>57</v>
      </c>
      <c r="B64" s="27">
        <v>13</v>
      </c>
      <c r="C64" s="11" t="s">
        <v>97</v>
      </c>
      <c r="D64" s="12">
        <v>4300049</v>
      </c>
      <c r="E64" s="16">
        <v>3985279</v>
      </c>
      <c r="F64" s="13">
        <f t="shared" si="0"/>
        <v>0.92679850857513479</v>
      </c>
      <c r="G64" s="14" t="s">
        <v>98</v>
      </c>
      <c r="H64" s="9" t="s">
        <v>13</v>
      </c>
      <c r="I64" s="9" t="s">
        <v>14</v>
      </c>
      <c r="J64" s="12">
        <f t="shared" ref="J64:J83" si="5">D64-E64</f>
        <v>314770</v>
      </c>
      <c r="K64" s="60">
        <f t="shared" si="2"/>
        <v>7.3201491424865164E-2</v>
      </c>
    </row>
    <row r="65" spans="1:11">
      <c r="A65" s="71">
        <f t="shared" si="3"/>
        <v>58</v>
      </c>
      <c r="B65" s="10"/>
      <c r="C65" s="11" t="s">
        <v>99</v>
      </c>
      <c r="D65" s="12">
        <v>39240</v>
      </c>
      <c r="E65" s="16">
        <f>3600+1850</f>
        <v>5450</v>
      </c>
      <c r="F65" s="13">
        <f t="shared" si="0"/>
        <v>0.1388888888888889</v>
      </c>
      <c r="G65" s="14" t="s">
        <v>100</v>
      </c>
      <c r="H65" s="9" t="s">
        <v>14</v>
      </c>
      <c r="I65" s="9" t="s">
        <v>13</v>
      </c>
      <c r="J65" s="12">
        <f t="shared" si="5"/>
        <v>33790</v>
      </c>
      <c r="K65" s="60">
        <f t="shared" si="2"/>
        <v>0.86111111111111116</v>
      </c>
    </row>
    <row r="66" spans="1:11">
      <c r="A66" s="71">
        <f t="shared" si="3"/>
        <v>59</v>
      </c>
      <c r="B66" s="10"/>
      <c r="C66" s="11" t="s">
        <v>101</v>
      </c>
      <c r="D66" s="12">
        <v>82947</v>
      </c>
      <c r="E66" s="16">
        <v>4500</v>
      </c>
      <c r="F66" s="13">
        <f t="shared" si="0"/>
        <v>5.4251510000361679E-2</v>
      </c>
      <c r="G66" s="14" t="s">
        <v>102</v>
      </c>
      <c r="H66" s="19" t="s">
        <v>13</v>
      </c>
      <c r="I66" s="9" t="s">
        <v>14</v>
      </c>
      <c r="J66" s="12">
        <f t="shared" si="5"/>
        <v>78447</v>
      </c>
      <c r="K66" s="60">
        <f t="shared" si="2"/>
        <v>0.94574848999963834</v>
      </c>
    </row>
    <row r="67" spans="1:11" ht="43.5">
      <c r="A67" s="71">
        <f>A66+1</f>
        <v>60</v>
      </c>
      <c r="B67" s="10"/>
      <c r="C67" s="11" t="s">
        <v>103</v>
      </c>
      <c r="D67" s="12">
        <v>83415</v>
      </c>
      <c r="E67" s="16">
        <v>56613</v>
      </c>
      <c r="F67" s="13">
        <f t="shared" si="0"/>
        <v>0.67869088293472402</v>
      </c>
      <c r="G67" s="49" t="s">
        <v>252</v>
      </c>
      <c r="H67" s="9" t="s">
        <v>14</v>
      </c>
      <c r="I67" s="9" t="s">
        <v>14</v>
      </c>
      <c r="J67" s="12">
        <f t="shared" si="5"/>
        <v>26802</v>
      </c>
      <c r="K67" s="60">
        <f t="shared" si="2"/>
        <v>0.32130911706527604</v>
      </c>
    </row>
    <row r="68" spans="1:11" ht="108.75">
      <c r="A68" s="71">
        <f t="shared" ref="A68:A83" si="6">A67+1</f>
        <v>61</v>
      </c>
      <c r="B68" s="10"/>
      <c r="C68" s="11" t="s">
        <v>104</v>
      </c>
      <c r="D68" s="52">
        <v>305000</v>
      </c>
      <c r="E68" s="51">
        <v>84128</v>
      </c>
      <c r="F68" s="13">
        <f t="shared" si="0"/>
        <v>0.27582950819672131</v>
      </c>
      <c r="G68" s="14" t="s">
        <v>105</v>
      </c>
      <c r="H68" s="9" t="s">
        <v>14</v>
      </c>
      <c r="I68" s="9" t="s">
        <v>13</v>
      </c>
      <c r="J68" s="12">
        <f t="shared" si="5"/>
        <v>220872</v>
      </c>
      <c r="K68" s="60">
        <f t="shared" si="2"/>
        <v>0.72417049180327864</v>
      </c>
    </row>
    <row r="69" spans="1:11">
      <c r="A69" s="71">
        <f t="shared" si="6"/>
        <v>62</v>
      </c>
      <c r="B69" s="10"/>
      <c r="C69" s="11" t="s">
        <v>106</v>
      </c>
      <c r="D69" s="12">
        <v>120109</v>
      </c>
      <c r="E69" s="16">
        <v>11855</v>
      </c>
      <c r="F69" s="13">
        <f t="shared" si="0"/>
        <v>9.8702012338792264E-2</v>
      </c>
      <c r="G69" s="14" t="s">
        <v>100</v>
      </c>
      <c r="H69" s="9" t="s">
        <v>13</v>
      </c>
      <c r="I69" s="9" t="s">
        <v>14</v>
      </c>
      <c r="J69" s="12">
        <f t="shared" si="5"/>
        <v>108254</v>
      </c>
      <c r="K69" s="60">
        <f t="shared" si="2"/>
        <v>0.90129798766120772</v>
      </c>
    </row>
    <row r="70" spans="1:11" ht="65.25">
      <c r="A70" s="71">
        <f t="shared" si="6"/>
        <v>63</v>
      </c>
      <c r="B70" s="27">
        <v>14</v>
      </c>
      <c r="C70" s="74" t="s">
        <v>107</v>
      </c>
      <c r="D70" s="51">
        <v>1042846.9</v>
      </c>
      <c r="E70" s="51">
        <v>783258.85000000009</v>
      </c>
      <c r="F70" s="13">
        <f t="shared" si="0"/>
        <v>0.75107750715852928</v>
      </c>
      <c r="G70" s="18" t="s">
        <v>108</v>
      </c>
      <c r="H70" s="19" t="s">
        <v>13</v>
      </c>
      <c r="I70" s="19" t="s">
        <v>13</v>
      </c>
      <c r="J70" s="12">
        <f t="shared" si="5"/>
        <v>259588.04999999993</v>
      </c>
      <c r="K70" s="60">
        <f t="shared" si="2"/>
        <v>0.24892249284147072</v>
      </c>
    </row>
    <row r="71" spans="1:11" ht="65.25">
      <c r="A71" s="71">
        <f t="shared" si="6"/>
        <v>64</v>
      </c>
      <c r="B71" s="10"/>
      <c r="C71" s="74" t="s">
        <v>109</v>
      </c>
      <c r="D71" s="51">
        <v>200358.75</v>
      </c>
      <c r="E71" s="51">
        <v>96690</v>
      </c>
      <c r="F71" s="13">
        <f t="shared" si="0"/>
        <v>0.48258436429654306</v>
      </c>
      <c r="G71" s="18" t="s">
        <v>108</v>
      </c>
      <c r="H71" s="19" t="s">
        <v>13</v>
      </c>
      <c r="I71" s="19" t="s">
        <v>14</v>
      </c>
      <c r="J71" s="12">
        <f t="shared" si="5"/>
        <v>103668.75</v>
      </c>
      <c r="K71" s="60">
        <f t="shared" si="2"/>
        <v>0.51741563570345694</v>
      </c>
    </row>
    <row r="72" spans="1:11" ht="65.25">
      <c r="A72" s="71">
        <f t="shared" si="6"/>
        <v>65</v>
      </c>
      <c r="B72" s="10"/>
      <c r="C72" s="74" t="s">
        <v>110</v>
      </c>
      <c r="D72" s="51">
        <v>1191719.25</v>
      </c>
      <c r="E72" s="51">
        <v>200121</v>
      </c>
      <c r="F72" s="13">
        <f t="shared" si="0"/>
        <v>0.16792629639908896</v>
      </c>
      <c r="G72" s="18" t="s">
        <v>108</v>
      </c>
      <c r="H72" s="19" t="s">
        <v>13</v>
      </c>
      <c r="I72" s="19" t="s">
        <v>14</v>
      </c>
      <c r="J72" s="12">
        <f t="shared" si="5"/>
        <v>991598.25</v>
      </c>
      <c r="K72" s="60">
        <f t="shared" si="2"/>
        <v>0.83207370360091104</v>
      </c>
    </row>
    <row r="73" spans="1:11">
      <c r="A73" s="71">
        <f t="shared" si="6"/>
        <v>66</v>
      </c>
      <c r="B73" s="10"/>
      <c r="C73" s="74" t="s">
        <v>111</v>
      </c>
      <c r="D73" s="16">
        <v>296992.2</v>
      </c>
      <c r="E73" s="16">
        <v>270988.79999999999</v>
      </c>
      <c r="F73" s="13">
        <f t="shared" ref="F73:F83" si="7">E73/D73</f>
        <v>0.91244416520029814</v>
      </c>
      <c r="G73" s="18" t="s">
        <v>112</v>
      </c>
      <c r="H73" s="19" t="s">
        <v>13</v>
      </c>
      <c r="I73" s="19" t="s">
        <v>14</v>
      </c>
      <c r="J73" s="12">
        <f t="shared" si="5"/>
        <v>26003.400000000023</v>
      </c>
      <c r="K73" s="60">
        <f t="shared" ref="K73:K83" si="8">J73/D73</f>
        <v>8.7555834799701887E-2</v>
      </c>
    </row>
    <row r="74" spans="1:11">
      <c r="A74" s="71">
        <f t="shared" si="6"/>
        <v>67</v>
      </c>
      <c r="B74" s="27">
        <v>15</v>
      </c>
      <c r="C74" s="11" t="s">
        <v>113</v>
      </c>
      <c r="D74" s="31" t="s">
        <v>14</v>
      </c>
      <c r="E74" s="31" t="s">
        <v>14</v>
      </c>
      <c r="F74" s="31" t="s">
        <v>14</v>
      </c>
      <c r="G74" s="54" t="s">
        <v>14</v>
      </c>
      <c r="H74" s="54" t="s">
        <v>14</v>
      </c>
      <c r="I74" s="54" t="s">
        <v>14</v>
      </c>
      <c r="J74" s="31" t="s">
        <v>14</v>
      </c>
      <c r="K74" s="31" t="s">
        <v>14</v>
      </c>
    </row>
    <row r="75" spans="1:11" ht="152.25">
      <c r="A75" s="71">
        <f t="shared" si="6"/>
        <v>68</v>
      </c>
      <c r="B75" s="10"/>
      <c r="C75" s="11" t="s">
        <v>114</v>
      </c>
      <c r="D75" s="31">
        <v>212719</v>
      </c>
      <c r="E75" s="31">
        <v>204000</v>
      </c>
      <c r="F75" s="13">
        <f t="shared" si="7"/>
        <v>0.9590116538720096</v>
      </c>
      <c r="G75" s="145" t="s">
        <v>211</v>
      </c>
      <c r="H75" s="19" t="s">
        <v>13</v>
      </c>
      <c r="I75" s="19"/>
      <c r="J75" s="12">
        <f t="shared" si="5"/>
        <v>8719</v>
      </c>
      <c r="K75" s="60">
        <f t="shared" si="8"/>
        <v>4.0988346127990447E-2</v>
      </c>
    </row>
    <row r="76" spans="1:11" ht="130.5">
      <c r="A76" s="71">
        <f>A75+1</f>
        <v>69</v>
      </c>
      <c r="B76" s="10"/>
      <c r="C76" s="11" t="s">
        <v>115</v>
      </c>
      <c r="D76" s="31">
        <v>179363</v>
      </c>
      <c r="E76" s="31">
        <v>15746</v>
      </c>
      <c r="F76" s="13">
        <f t="shared" si="7"/>
        <v>8.7788451352843119E-2</v>
      </c>
      <c r="G76" s="145" t="s">
        <v>246</v>
      </c>
      <c r="H76" s="19" t="s">
        <v>13</v>
      </c>
      <c r="I76" s="19"/>
      <c r="J76" s="12">
        <f t="shared" si="5"/>
        <v>163617</v>
      </c>
      <c r="K76" s="60">
        <f t="shared" si="8"/>
        <v>0.91221154864715692</v>
      </c>
    </row>
    <row r="77" spans="1:11" ht="174">
      <c r="A77" s="71">
        <f t="shared" si="6"/>
        <v>70</v>
      </c>
      <c r="B77" s="10"/>
      <c r="C77" s="11" t="s">
        <v>116</v>
      </c>
      <c r="D77" s="31">
        <v>24894</v>
      </c>
      <c r="E77" s="31">
        <v>11844</v>
      </c>
      <c r="F77" s="13">
        <f t="shared" si="7"/>
        <v>0.47577729573391181</v>
      </c>
      <c r="G77" s="32" t="s">
        <v>212</v>
      </c>
      <c r="H77" s="19" t="s">
        <v>13</v>
      </c>
      <c r="I77" s="19" t="s">
        <v>13</v>
      </c>
      <c r="J77" s="12">
        <f t="shared" si="5"/>
        <v>13050</v>
      </c>
      <c r="K77" s="60">
        <f t="shared" si="8"/>
        <v>0.52422270426608819</v>
      </c>
    </row>
    <row r="78" spans="1:11" ht="326.25">
      <c r="A78" s="71">
        <f t="shared" si="6"/>
        <v>71</v>
      </c>
      <c r="B78" s="10"/>
      <c r="C78" s="11" t="s">
        <v>117</v>
      </c>
      <c r="D78" s="31">
        <v>245819</v>
      </c>
      <c r="E78" s="31">
        <v>16538</v>
      </c>
      <c r="F78" s="13">
        <f t="shared" si="7"/>
        <v>6.7277142938503537E-2</v>
      </c>
      <c r="G78" s="32" t="s">
        <v>118</v>
      </c>
      <c r="H78" s="19" t="s">
        <v>13</v>
      </c>
      <c r="I78" s="19"/>
      <c r="J78" s="12">
        <f t="shared" si="5"/>
        <v>229281</v>
      </c>
      <c r="K78" s="60">
        <f t="shared" si="8"/>
        <v>0.93272285706149649</v>
      </c>
    </row>
    <row r="79" spans="1:11" ht="130.5">
      <c r="A79" s="71">
        <f>A78+1</f>
        <v>72</v>
      </c>
      <c r="B79" s="27">
        <v>16</v>
      </c>
      <c r="C79" s="11" t="s">
        <v>119</v>
      </c>
      <c r="D79" s="52">
        <v>2471840</v>
      </c>
      <c r="E79" s="51">
        <v>2336482.94</v>
      </c>
      <c r="F79" s="13">
        <f t="shared" si="7"/>
        <v>0.94524036345394524</v>
      </c>
      <c r="G79" s="23" t="s">
        <v>140</v>
      </c>
      <c r="H79" s="9" t="s">
        <v>13</v>
      </c>
      <c r="I79" s="9" t="s">
        <v>13</v>
      </c>
      <c r="J79" s="12">
        <f t="shared" si="5"/>
        <v>135357.06000000006</v>
      </c>
      <c r="K79" s="60">
        <f t="shared" si="8"/>
        <v>5.4759636546054785E-2</v>
      </c>
    </row>
    <row r="80" spans="1:11">
      <c r="A80" s="71">
        <f t="shared" si="6"/>
        <v>73</v>
      </c>
      <c r="B80" s="10"/>
      <c r="C80" s="11" t="s">
        <v>120</v>
      </c>
      <c r="D80" s="12">
        <v>79096</v>
      </c>
      <c r="E80" s="16">
        <v>25356.400000000001</v>
      </c>
      <c r="F80" s="13">
        <f t="shared" si="7"/>
        <v>0.32057752604430062</v>
      </c>
      <c r="G80" s="18" t="s">
        <v>121</v>
      </c>
      <c r="H80" s="19" t="s">
        <v>13</v>
      </c>
      <c r="I80" s="19" t="s">
        <v>14</v>
      </c>
      <c r="J80" s="12">
        <f t="shared" si="5"/>
        <v>53739.6</v>
      </c>
      <c r="K80" s="60">
        <f t="shared" si="8"/>
        <v>0.67942247395569944</v>
      </c>
    </row>
    <row r="81" spans="1:11" ht="43.5">
      <c r="A81" s="71">
        <f t="shared" si="6"/>
        <v>74</v>
      </c>
      <c r="B81" s="10"/>
      <c r="C81" s="11" t="s">
        <v>122</v>
      </c>
      <c r="D81" s="52">
        <v>201001</v>
      </c>
      <c r="E81" s="51">
        <v>186283</v>
      </c>
      <c r="F81" s="13">
        <f t="shared" si="7"/>
        <v>0.92677648369908605</v>
      </c>
      <c r="G81" s="18" t="s">
        <v>123</v>
      </c>
      <c r="H81" s="19" t="s">
        <v>13</v>
      </c>
      <c r="I81" s="19" t="s">
        <v>14</v>
      </c>
      <c r="J81" s="12">
        <f t="shared" si="5"/>
        <v>14718</v>
      </c>
      <c r="K81" s="60">
        <f t="shared" si="8"/>
        <v>7.3223516300913921E-2</v>
      </c>
    </row>
    <row r="82" spans="1:11">
      <c r="A82" s="71">
        <f t="shared" si="6"/>
        <v>75</v>
      </c>
      <c r="B82" s="10"/>
      <c r="C82" s="11" t="s">
        <v>124</v>
      </c>
      <c r="D82" s="12">
        <v>67158</v>
      </c>
      <c r="E82" s="16">
        <v>35349</v>
      </c>
      <c r="F82" s="13">
        <f t="shared" si="7"/>
        <v>0.52635575806307511</v>
      </c>
      <c r="G82" s="18" t="s">
        <v>121</v>
      </c>
      <c r="H82" s="19" t="s">
        <v>13</v>
      </c>
      <c r="I82" s="19" t="s">
        <v>14</v>
      </c>
      <c r="J82" s="12">
        <f t="shared" si="5"/>
        <v>31809</v>
      </c>
      <c r="K82" s="60">
        <f t="shared" si="8"/>
        <v>0.47364424193692484</v>
      </c>
    </row>
    <row r="83" spans="1:11" s="44" customFormat="1" ht="65.25">
      <c r="A83" s="73">
        <f t="shared" si="6"/>
        <v>76</v>
      </c>
      <c r="B83" s="30"/>
      <c r="C83" s="74" t="s">
        <v>125</v>
      </c>
      <c r="D83" s="51">
        <v>114002</v>
      </c>
      <c r="E83" s="51">
        <v>46903.66</v>
      </c>
      <c r="F83" s="20">
        <f t="shared" si="7"/>
        <v>0.41142839599305281</v>
      </c>
      <c r="G83" s="18" t="s">
        <v>126</v>
      </c>
      <c r="H83" s="19" t="s">
        <v>13</v>
      </c>
      <c r="I83" s="19" t="s">
        <v>13</v>
      </c>
      <c r="J83" s="16">
        <f t="shared" si="5"/>
        <v>67098.34</v>
      </c>
      <c r="K83" s="17">
        <f t="shared" si="8"/>
        <v>0.58857160400694719</v>
      </c>
    </row>
    <row r="84" spans="1:11">
      <c r="A84" s="46"/>
      <c r="B84" s="61"/>
      <c r="C84" s="55" t="s">
        <v>127</v>
      </c>
      <c r="D84" s="56">
        <f>SUM(D8:D83)</f>
        <v>30462713.449999996</v>
      </c>
      <c r="E84" s="69">
        <f>SUM(E8:E83)</f>
        <v>21835719.610000003</v>
      </c>
      <c r="F84" s="58">
        <f>E84/D84</f>
        <v>0.71680153003572988</v>
      </c>
      <c r="G84" s="57"/>
      <c r="H84" s="57"/>
      <c r="I84" s="57"/>
      <c r="J84" s="67">
        <f>SUM(J8:J83)</f>
        <v>8626993.8399999999</v>
      </c>
      <c r="K84" s="68">
        <f>J84/D84</f>
        <v>0.28319846996427039</v>
      </c>
    </row>
    <row r="85" spans="1:11" s="44" customFormat="1">
      <c r="A85" s="91"/>
      <c r="B85" s="91"/>
      <c r="C85" s="92"/>
      <c r="D85" s="93"/>
      <c r="E85" s="94"/>
      <c r="F85" s="95"/>
      <c r="G85" s="93"/>
      <c r="H85" s="93"/>
      <c r="I85" s="93"/>
      <c r="J85" s="93"/>
      <c r="K85" s="96"/>
    </row>
    <row r="86" spans="1:11">
      <c r="A86" s="136" t="s">
        <v>200</v>
      </c>
      <c r="B86" s="137"/>
      <c r="D86" s="5"/>
      <c r="E86" s="8"/>
      <c r="G86" s="144"/>
      <c r="H86" s="34"/>
      <c r="J86" s="144"/>
      <c r="K86" s="8"/>
    </row>
    <row r="87" spans="1:11">
      <c r="B87" s="34" t="s">
        <v>202</v>
      </c>
      <c r="D87" s="5"/>
      <c r="E87" s="5"/>
      <c r="F87" s="5"/>
      <c r="G87" s="38">
        <f>D84</f>
        <v>30462713.449999996</v>
      </c>
      <c r="H87" s="38" t="s">
        <v>201</v>
      </c>
      <c r="I87" s="8"/>
      <c r="J87" s="6"/>
      <c r="K87" s="8"/>
    </row>
    <row r="88" spans="1:11">
      <c r="B88" s="34" t="s">
        <v>214</v>
      </c>
      <c r="D88" s="5"/>
      <c r="E88" s="5"/>
      <c r="F88" s="5"/>
      <c r="G88" s="38">
        <f>E84</f>
        <v>21835719.610000003</v>
      </c>
      <c r="H88" s="138" t="s">
        <v>201</v>
      </c>
      <c r="I88" s="139">
        <f>G88/G87</f>
        <v>0.71680153003572988</v>
      </c>
      <c r="J88" s="141"/>
      <c r="K88" s="142"/>
    </row>
    <row r="89" spans="1:11">
      <c r="B89" s="34" t="s">
        <v>203</v>
      </c>
      <c r="D89" s="5"/>
      <c r="E89" s="5"/>
      <c r="F89" s="5"/>
      <c r="G89" s="38">
        <f>J84</f>
        <v>8626993.8399999999</v>
      </c>
      <c r="H89" s="138" t="s">
        <v>201</v>
      </c>
      <c r="I89" s="139">
        <f>G89/G87</f>
        <v>0.28319846996427039</v>
      </c>
      <c r="J89" s="141"/>
      <c r="K89" s="8"/>
    </row>
    <row r="90" spans="1:11">
      <c r="B90" s="34"/>
      <c r="D90" s="5"/>
      <c r="E90" s="5"/>
      <c r="F90" s="5"/>
      <c r="G90" s="38"/>
      <c r="H90" s="138"/>
      <c r="I90" s="139"/>
      <c r="J90" s="141"/>
      <c r="K90" s="8"/>
    </row>
    <row r="91" spans="1:11">
      <c r="B91" s="34"/>
      <c r="D91" s="5"/>
      <c r="E91" s="5"/>
      <c r="F91" s="5"/>
      <c r="G91" s="38"/>
      <c r="H91" s="138"/>
      <c r="I91" s="139"/>
      <c r="J91" s="141"/>
      <c r="K91" s="8"/>
    </row>
    <row r="92" spans="1:11">
      <c r="B92" s="34"/>
      <c r="D92" s="5"/>
      <c r="E92" s="5"/>
      <c r="F92" s="5"/>
      <c r="G92" s="38"/>
      <c r="H92" s="138"/>
      <c r="I92" s="139"/>
      <c r="J92" s="141"/>
      <c r="K92" s="8"/>
    </row>
    <row r="93" spans="1:11">
      <c r="B93" s="34"/>
      <c r="D93" s="5"/>
      <c r="E93" s="5"/>
      <c r="F93" s="5"/>
      <c r="G93" s="38"/>
      <c r="H93" s="138"/>
      <c r="I93" s="139"/>
      <c r="J93" s="141"/>
      <c r="K93" s="8"/>
    </row>
    <row r="94" spans="1:11">
      <c r="B94" s="34"/>
      <c r="D94" s="5"/>
      <c r="E94" s="5"/>
      <c r="F94" s="5"/>
      <c r="G94" s="38"/>
      <c r="H94" s="138"/>
      <c r="I94" s="139"/>
      <c r="J94" s="141"/>
      <c r="K94" s="8"/>
    </row>
    <row r="95" spans="1:11">
      <c r="B95" s="34"/>
      <c r="D95" s="5"/>
      <c r="E95" s="5"/>
      <c r="F95" s="5"/>
      <c r="G95" s="38"/>
      <c r="H95" s="138"/>
      <c r="I95" s="139"/>
      <c r="J95" s="141"/>
      <c r="K95" s="8"/>
    </row>
    <row r="96" spans="1:11">
      <c r="B96" s="34"/>
      <c r="D96" s="5"/>
      <c r="E96" s="5"/>
      <c r="F96" s="5"/>
      <c r="G96" s="38"/>
      <c r="H96" s="138"/>
      <c r="I96" s="139"/>
      <c r="J96" s="141"/>
      <c r="K96" s="8"/>
    </row>
    <row r="97" spans="1:11">
      <c r="B97" s="34"/>
      <c r="D97" s="5"/>
      <c r="E97" s="5"/>
      <c r="F97" s="5"/>
      <c r="G97" s="38"/>
      <c r="H97" s="138"/>
      <c r="I97" s="139"/>
      <c r="J97" s="141"/>
      <c r="K97" s="8"/>
    </row>
    <row r="98" spans="1:11">
      <c r="B98" s="34"/>
      <c r="D98" s="5"/>
      <c r="E98" s="5"/>
      <c r="F98" s="5"/>
      <c r="G98" s="38"/>
      <c r="H98" s="138"/>
      <c r="I98" s="139"/>
      <c r="J98" s="141"/>
      <c r="K98" s="8"/>
    </row>
    <row r="99" spans="1:11">
      <c r="B99" s="34"/>
      <c r="D99" s="5"/>
      <c r="E99" s="5"/>
      <c r="F99" s="5"/>
      <c r="G99" s="38"/>
      <c r="H99" s="138"/>
      <c r="I99" s="139"/>
      <c r="J99" s="141"/>
      <c r="K99" s="8"/>
    </row>
    <row r="100" spans="1:11">
      <c r="B100" s="34"/>
      <c r="D100" s="5"/>
      <c r="E100" s="5"/>
      <c r="F100" s="5"/>
      <c r="G100" s="38"/>
      <c r="H100" s="138"/>
      <c r="I100" s="139"/>
      <c r="J100" s="141"/>
      <c r="K100" s="8"/>
    </row>
    <row r="101" spans="1:11" s="44" customFormat="1">
      <c r="A101" s="91"/>
      <c r="B101" s="91"/>
      <c r="C101" s="92"/>
      <c r="D101" s="93"/>
      <c r="E101" s="94"/>
      <c r="F101" s="95"/>
      <c r="G101" s="93"/>
      <c r="H101" s="93"/>
      <c r="I101" s="93"/>
      <c r="J101" s="93"/>
      <c r="K101" s="96"/>
    </row>
    <row r="102" spans="1:11" s="78" customFormat="1" ht="18.75">
      <c r="A102" s="76" t="s">
        <v>128</v>
      </c>
      <c r="B102" s="77"/>
      <c r="D102" s="79"/>
      <c r="E102" s="80"/>
      <c r="F102" s="79"/>
      <c r="G102" s="81"/>
      <c r="H102" s="77"/>
      <c r="I102" s="77"/>
      <c r="J102" s="79"/>
    </row>
    <row r="103" spans="1:11" s="81" customFormat="1" ht="18.75">
      <c r="A103" s="81" t="s">
        <v>129</v>
      </c>
      <c r="D103" s="82"/>
      <c r="E103" s="83"/>
      <c r="F103" s="82"/>
      <c r="J103" s="82"/>
    </row>
    <row r="104" spans="1:11" s="81" customFormat="1" ht="18.75">
      <c r="D104" s="82"/>
      <c r="E104" s="83"/>
      <c r="F104" s="82"/>
      <c r="J104" s="82"/>
    </row>
    <row r="105" spans="1:11" s="78" customFormat="1" ht="18.75">
      <c r="A105" s="81" t="s">
        <v>130</v>
      </c>
      <c r="B105" s="77"/>
      <c r="D105" s="79"/>
      <c r="E105" s="80"/>
      <c r="F105" s="79"/>
      <c r="G105" s="81"/>
      <c r="H105" s="77"/>
      <c r="I105" s="77"/>
      <c r="J105" s="79"/>
    </row>
    <row r="106" spans="1:11" s="78" customFormat="1" ht="18.75">
      <c r="A106" s="78" t="s">
        <v>260</v>
      </c>
      <c r="D106" s="79"/>
      <c r="E106" s="80"/>
      <c r="F106" s="79"/>
      <c r="G106" s="81"/>
      <c r="H106" s="77"/>
      <c r="I106" s="77"/>
      <c r="J106" s="79"/>
    </row>
    <row r="107" spans="1:11" s="78" customFormat="1" ht="18.75">
      <c r="A107" s="84" t="s">
        <v>141</v>
      </c>
      <c r="B107" s="77"/>
      <c r="D107" s="79"/>
      <c r="E107" s="80"/>
      <c r="F107" s="79"/>
      <c r="G107" s="81"/>
      <c r="H107" s="77"/>
      <c r="I107" s="77"/>
      <c r="J107" s="79"/>
    </row>
    <row r="108" spans="1:11" s="78" customFormat="1" ht="18.75">
      <c r="A108" s="90" t="s">
        <v>142</v>
      </c>
      <c r="B108" s="77"/>
      <c r="D108" s="79"/>
      <c r="E108" s="80"/>
      <c r="F108" s="79"/>
      <c r="G108" s="81"/>
      <c r="H108" s="77"/>
      <c r="I108" s="77"/>
      <c r="J108" s="79"/>
    </row>
    <row r="109" spans="1:11" s="78" customFormat="1" ht="18.75">
      <c r="A109" s="85" t="s">
        <v>131</v>
      </c>
      <c r="B109" s="77"/>
      <c r="D109" s="79"/>
      <c r="E109" s="80"/>
      <c r="F109" s="79"/>
      <c r="G109" s="81"/>
      <c r="H109" s="77"/>
      <c r="I109" s="77"/>
      <c r="J109" s="79"/>
    </row>
    <row r="110" spans="1:11" s="78" customFormat="1" ht="18.75">
      <c r="A110" s="135" t="s">
        <v>132</v>
      </c>
      <c r="B110" s="77"/>
      <c r="D110" s="79"/>
      <c r="E110" s="80"/>
      <c r="F110" s="79"/>
      <c r="G110" s="81"/>
      <c r="H110" s="77"/>
      <c r="I110" s="77"/>
      <c r="J110" s="79"/>
    </row>
    <row r="111" spans="1:11" s="78" customFormat="1" ht="21">
      <c r="A111" s="135" t="s">
        <v>133</v>
      </c>
      <c r="B111" s="77"/>
      <c r="D111" s="79"/>
      <c r="E111" s="80"/>
      <c r="F111" s="86" t="s">
        <v>134</v>
      </c>
      <c r="G111" s="87" t="s">
        <v>135</v>
      </c>
      <c r="H111" s="88"/>
      <c r="I111" s="88"/>
      <c r="J111" s="89"/>
    </row>
    <row r="112" spans="1:11" s="81" customFormat="1" ht="18.75">
      <c r="B112" s="135"/>
      <c r="D112" s="82"/>
      <c r="E112" s="83"/>
      <c r="F112" s="82"/>
      <c r="G112" s="81" t="s">
        <v>136</v>
      </c>
      <c r="J112" s="82"/>
    </row>
    <row r="113" spans="1:10" s="78" customFormat="1" ht="18.75">
      <c r="A113" s="77"/>
      <c r="B113" s="77"/>
      <c r="D113" s="79"/>
      <c r="E113" s="80"/>
      <c r="F113" s="79"/>
      <c r="G113" s="81"/>
      <c r="H113" s="77"/>
      <c r="I113" s="77"/>
      <c r="J113" s="79"/>
    </row>
  </sheetData>
  <mergeCells count="12">
    <mergeCell ref="H4:J4"/>
    <mergeCell ref="A6:A7"/>
    <mergeCell ref="B6:B7"/>
    <mergeCell ref="C6:C7"/>
    <mergeCell ref="D6:D7"/>
    <mergeCell ref="E6:E7"/>
    <mergeCell ref="F6:F7"/>
    <mergeCell ref="E5:K5"/>
    <mergeCell ref="K6:K7"/>
    <mergeCell ref="G6:G7"/>
    <mergeCell ref="H6:I6"/>
    <mergeCell ref="J6:J7"/>
  </mergeCells>
  <printOptions horizontalCentered="1"/>
  <pageMargins left="0.39370078740157483" right="0" top="0.39370078740157483" bottom="0.19685039370078741" header="0.31496062992125984" footer="0.31496062992125984"/>
  <pageSetup paperSize="9" scale="73" orientation="portrait" horizontalDpi="300" verticalDpi="300" r:id="rId1"/>
</worksheet>
</file>

<file path=xl/worksheets/sheet2.xml><?xml version="1.0" encoding="utf-8"?>
<worksheet xmlns="http://schemas.openxmlformats.org/spreadsheetml/2006/main" xmlns:r="http://schemas.openxmlformats.org/officeDocument/2006/relationships">
  <dimension ref="A1:K103"/>
  <sheetViews>
    <sheetView topLeftCell="A82" zoomScale="75" zoomScaleNormal="75" workbookViewId="0">
      <selection activeCell="D92" sqref="D92"/>
    </sheetView>
  </sheetViews>
  <sheetFormatPr defaultRowHeight="21.75"/>
  <cols>
    <col min="1" max="2" width="4.625" style="6" customWidth="1"/>
    <col min="3" max="3" width="13.625" style="5" customWidth="1"/>
    <col min="4" max="4" width="15.625" style="8" customWidth="1"/>
    <col min="5" max="5" width="11.625" style="8" customWidth="1"/>
    <col min="6" max="6" width="5.625" style="8" customWidth="1"/>
    <col min="7" max="7" width="35.625" style="5" customWidth="1"/>
    <col min="8" max="9" width="5.625" style="6" customWidth="1"/>
    <col min="10" max="10" width="11.625" style="8" customWidth="1"/>
    <col min="11" max="11" width="5.625" style="5" customWidth="1"/>
    <col min="12" max="16384" width="9" style="5"/>
  </cols>
  <sheetData>
    <row r="1" spans="1:11">
      <c r="A1" s="153" t="s">
        <v>220</v>
      </c>
      <c r="B1" s="97"/>
      <c r="C1" s="98"/>
      <c r="D1" s="99"/>
      <c r="E1" s="99"/>
      <c r="F1" s="99"/>
      <c r="G1" s="98"/>
      <c r="H1" s="97"/>
      <c r="I1" s="97"/>
      <c r="J1" s="99"/>
      <c r="K1" s="98"/>
    </row>
    <row r="2" spans="1:11">
      <c r="A2" s="153" t="s">
        <v>221</v>
      </c>
      <c r="B2" s="97"/>
      <c r="C2" s="98"/>
      <c r="D2" s="99"/>
      <c r="E2" s="99"/>
      <c r="F2" s="99"/>
      <c r="G2" s="98"/>
      <c r="H2" s="97"/>
      <c r="I2" s="97"/>
      <c r="J2" s="99"/>
      <c r="K2" s="98"/>
    </row>
    <row r="3" spans="1:11" s="151" customFormat="1">
      <c r="A3" s="153" t="s">
        <v>219</v>
      </c>
      <c r="B3" s="154"/>
      <c r="C3" s="154"/>
      <c r="D3" s="154"/>
      <c r="E3" s="154"/>
      <c r="F3" s="153"/>
      <c r="G3" s="154"/>
      <c r="H3" s="153"/>
      <c r="I3" s="153"/>
      <c r="J3" s="153"/>
      <c r="K3" s="153"/>
    </row>
    <row r="4" spans="1:11">
      <c r="B4" s="5"/>
      <c r="D4" s="5"/>
      <c r="E4" s="38"/>
      <c r="F4" s="7"/>
      <c r="H4" s="193"/>
      <c r="I4" s="193"/>
      <c r="J4" s="193"/>
    </row>
    <row r="5" spans="1:11">
      <c r="E5" s="207" t="s">
        <v>210</v>
      </c>
      <c r="F5" s="208"/>
      <c r="G5" s="208"/>
      <c r="H5" s="208"/>
      <c r="I5" s="208"/>
      <c r="J5" s="208"/>
      <c r="K5" s="209"/>
    </row>
    <row r="6" spans="1:11">
      <c r="A6" s="210" t="s">
        <v>0</v>
      </c>
      <c r="B6" s="212" t="s">
        <v>1</v>
      </c>
      <c r="C6" s="212" t="s">
        <v>2</v>
      </c>
      <c r="D6" s="215" t="s">
        <v>196</v>
      </c>
      <c r="E6" s="217" t="s">
        <v>189</v>
      </c>
      <c r="F6" s="217" t="s">
        <v>5</v>
      </c>
      <c r="G6" s="219" t="s">
        <v>255</v>
      </c>
      <c r="H6" s="221" t="s">
        <v>7</v>
      </c>
      <c r="I6" s="222"/>
      <c r="J6" s="205" t="s">
        <v>195</v>
      </c>
      <c r="K6" s="205" t="s">
        <v>5</v>
      </c>
    </row>
    <row r="7" spans="1:11">
      <c r="A7" s="211"/>
      <c r="B7" s="213"/>
      <c r="C7" s="214"/>
      <c r="D7" s="216"/>
      <c r="E7" s="218"/>
      <c r="F7" s="218"/>
      <c r="G7" s="220"/>
      <c r="H7" s="100" t="s">
        <v>9</v>
      </c>
      <c r="I7" s="100" t="s">
        <v>10</v>
      </c>
      <c r="J7" s="206"/>
      <c r="K7" s="206"/>
    </row>
    <row r="8" spans="1:11">
      <c r="A8" s="71">
        <v>1</v>
      </c>
      <c r="B8" s="27">
        <v>1</v>
      </c>
      <c r="C8" s="11" t="s">
        <v>11</v>
      </c>
      <c r="D8" s="12">
        <v>1649.5068493150684</v>
      </c>
      <c r="E8" s="15" t="s">
        <v>143</v>
      </c>
      <c r="F8" s="13"/>
      <c r="G8" s="49" t="s">
        <v>144</v>
      </c>
      <c r="H8" s="9"/>
      <c r="I8" s="9"/>
      <c r="J8" s="15" t="s">
        <v>143</v>
      </c>
      <c r="K8" s="53"/>
    </row>
    <row r="9" spans="1:11">
      <c r="A9" s="71">
        <f>A8+1</f>
        <v>2</v>
      </c>
      <c r="B9" s="10"/>
      <c r="C9" s="11" t="s">
        <v>15</v>
      </c>
      <c r="D9" s="12">
        <v>1182.2301369863014</v>
      </c>
      <c r="E9" s="15" t="s">
        <v>143</v>
      </c>
      <c r="F9" s="13"/>
      <c r="G9" s="49" t="s">
        <v>144</v>
      </c>
      <c r="H9" s="9"/>
      <c r="I9" s="9"/>
      <c r="J9" s="15" t="s">
        <v>143</v>
      </c>
      <c r="K9" s="53"/>
    </row>
    <row r="10" spans="1:11">
      <c r="A10" s="71">
        <f t="shared" ref="A10:A73" si="0">A9+1</f>
        <v>3</v>
      </c>
      <c r="B10" s="10"/>
      <c r="C10" s="11" t="s">
        <v>16</v>
      </c>
      <c r="D10" s="12">
        <v>219.6</v>
      </c>
      <c r="E10" s="15" t="s">
        <v>143</v>
      </c>
      <c r="F10" s="13"/>
      <c r="G10" s="49" t="s">
        <v>144</v>
      </c>
      <c r="H10" s="9"/>
      <c r="I10" s="9"/>
      <c r="J10" s="15" t="s">
        <v>143</v>
      </c>
      <c r="K10" s="53"/>
    </row>
    <row r="11" spans="1:11">
      <c r="A11" s="71">
        <f t="shared" si="0"/>
        <v>4</v>
      </c>
      <c r="B11" s="24"/>
      <c r="C11" s="11" t="s">
        <v>17</v>
      </c>
      <c r="D11" s="180">
        <v>404.1</v>
      </c>
      <c r="E11" s="180">
        <v>172.67</v>
      </c>
      <c r="F11" s="182">
        <f>E11/D11</f>
        <v>0.42729522395446667</v>
      </c>
      <c r="G11" s="181" t="s">
        <v>240</v>
      </c>
      <c r="H11" s="180" t="s">
        <v>13</v>
      </c>
      <c r="I11" s="180" t="s">
        <v>13</v>
      </c>
      <c r="J11" s="180">
        <f>D11-E11</f>
        <v>231.43000000000004</v>
      </c>
      <c r="K11" s="183">
        <f>J11/D11</f>
        <v>0.57270477604553338</v>
      </c>
    </row>
    <row r="12" spans="1:11" ht="152.25">
      <c r="A12" s="71">
        <f t="shared" si="0"/>
        <v>5</v>
      </c>
      <c r="B12" s="27">
        <v>2</v>
      </c>
      <c r="C12" s="11" t="s">
        <v>19</v>
      </c>
      <c r="D12" s="12">
        <v>866.2604383561644</v>
      </c>
      <c r="E12" s="12">
        <f>71013.06/365</f>
        <v>194.55632876712329</v>
      </c>
      <c r="F12" s="13">
        <f>E12/D12</f>
        <v>0.22459334416369958</v>
      </c>
      <c r="G12" s="47" t="s">
        <v>233</v>
      </c>
      <c r="H12" s="9" t="s">
        <v>13</v>
      </c>
      <c r="I12" s="9" t="s">
        <v>13</v>
      </c>
      <c r="J12" s="12">
        <f>D12-E12</f>
        <v>671.70410958904108</v>
      </c>
      <c r="K12" s="59">
        <f>J12/D12</f>
        <v>0.77540665583630042</v>
      </c>
    </row>
    <row r="13" spans="1:11">
      <c r="A13" s="71">
        <f t="shared" si="0"/>
        <v>6</v>
      </c>
      <c r="B13" s="10"/>
      <c r="C13" s="11" t="s">
        <v>20</v>
      </c>
      <c r="D13" s="12">
        <v>202.04383561643834</v>
      </c>
      <c r="E13" s="12">
        <f>56466/365</f>
        <v>154.7013698630137</v>
      </c>
      <c r="F13" s="13">
        <f>E13/D13</f>
        <v>0.76568220649255558</v>
      </c>
      <c r="G13" s="101" t="s">
        <v>145</v>
      </c>
      <c r="H13" s="9" t="s">
        <v>13</v>
      </c>
      <c r="I13" s="9" t="s">
        <v>13</v>
      </c>
      <c r="J13" s="12">
        <f>D13-E13</f>
        <v>47.342465753424648</v>
      </c>
      <c r="K13" s="59">
        <f t="shared" ref="K13:K76" si="1">J13/D13</f>
        <v>0.23431779350744444</v>
      </c>
    </row>
    <row r="14" spans="1:11">
      <c r="A14" s="71">
        <f t="shared" si="0"/>
        <v>7</v>
      </c>
      <c r="B14" s="10"/>
      <c r="C14" s="11" t="s">
        <v>146</v>
      </c>
      <c r="D14" s="12">
        <v>448.89</v>
      </c>
      <c r="E14" s="12">
        <v>448.89</v>
      </c>
      <c r="F14" s="13">
        <f>E14/D14</f>
        <v>1</v>
      </c>
      <c r="G14" s="101" t="s">
        <v>147</v>
      </c>
      <c r="H14" s="9" t="s">
        <v>13</v>
      </c>
      <c r="I14" s="9" t="s">
        <v>13</v>
      </c>
      <c r="J14" s="12">
        <f>D14-E14</f>
        <v>0</v>
      </c>
      <c r="K14" s="59">
        <f t="shared" si="1"/>
        <v>0</v>
      </c>
    </row>
    <row r="15" spans="1:11">
      <c r="A15" s="71">
        <f t="shared" si="0"/>
        <v>8</v>
      </c>
      <c r="B15" s="24"/>
      <c r="C15" s="11" t="s">
        <v>23</v>
      </c>
      <c r="D15" s="12">
        <v>239.81852054794518</v>
      </c>
      <c r="E15" s="102">
        <f>18240/365</f>
        <v>49.972602739726028</v>
      </c>
      <c r="F15" s="13">
        <f>E15/D15</f>
        <v>0.20837674515524068</v>
      </c>
      <c r="G15" s="101" t="s">
        <v>148</v>
      </c>
      <c r="H15" s="9" t="s">
        <v>13</v>
      </c>
      <c r="I15" s="103" t="s">
        <v>14</v>
      </c>
      <c r="J15" s="12">
        <f>D15-E15</f>
        <v>189.84591780821916</v>
      </c>
      <c r="K15" s="59">
        <f t="shared" si="1"/>
        <v>0.79162325484475926</v>
      </c>
    </row>
    <row r="16" spans="1:11">
      <c r="A16" s="71">
        <f t="shared" si="0"/>
        <v>9</v>
      </c>
      <c r="B16" s="27">
        <v>3</v>
      </c>
      <c r="C16" s="11" t="s">
        <v>24</v>
      </c>
      <c r="D16" s="12">
        <v>936.55890410958909</v>
      </c>
      <c r="E16" s="15" t="s">
        <v>143</v>
      </c>
      <c r="F16" s="13"/>
      <c r="G16" s="49" t="s">
        <v>144</v>
      </c>
      <c r="H16" s="9"/>
      <c r="I16" s="9"/>
      <c r="J16" s="15" t="s">
        <v>143</v>
      </c>
      <c r="K16" s="59"/>
    </row>
    <row r="17" spans="1:11">
      <c r="A17" s="71">
        <f t="shared" si="0"/>
        <v>10</v>
      </c>
      <c r="B17" s="10"/>
      <c r="C17" s="11" t="s">
        <v>26</v>
      </c>
      <c r="D17" s="12">
        <v>451.31059000000005</v>
      </c>
      <c r="E17" s="12">
        <v>23.38523287671233</v>
      </c>
      <c r="F17" s="13">
        <f>E17/D17</f>
        <v>5.1816273304626702E-2</v>
      </c>
      <c r="G17" s="52" t="s">
        <v>216</v>
      </c>
      <c r="H17" s="9" t="s">
        <v>13</v>
      </c>
      <c r="I17" s="9"/>
      <c r="J17" s="150">
        <f>D17-E17</f>
        <v>427.92535712328771</v>
      </c>
      <c r="K17" s="59">
        <f>J17/D17</f>
        <v>0.94818372669537332</v>
      </c>
    </row>
    <row r="18" spans="1:11" ht="108.75">
      <c r="A18" s="71">
        <f t="shared" si="0"/>
        <v>11</v>
      </c>
      <c r="B18" s="10"/>
      <c r="C18" s="11" t="s">
        <v>28</v>
      </c>
      <c r="D18" s="104">
        <v>215.72744920547942</v>
      </c>
      <c r="E18" s="104">
        <f>6384/153</f>
        <v>41.725490196078432</v>
      </c>
      <c r="F18" s="13">
        <f>E18/D18</f>
        <v>0.1934176218638505</v>
      </c>
      <c r="G18" s="32" t="s">
        <v>149</v>
      </c>
      <c r="H18" s="19" t="s">
        <v>13</v>
      </c>
      <c r="I18" s="19" t="s">
        <v>14</v>
      </c>
      <c r="J18" s="12">
        <f>D18-E18</f>
        <v>174.00195900940099</v>
      </c>
      <c r="K18" s="59">
        <f t="shared" si="1"/>
        <v>0.80658237813614952</v>
      </c>
    </row>
    <row r="19" spans="1:11">
      <c r="A19" s="71">
        <f t="shared" si="0"/>
        <v>12</v>
      </c>
      <c r="B19" s="10"/>
      <c r="C19" s="11" t="s">
        <v>29</v>
      </c>
      <c r="D19" s="12">
        <v>487.33150684931508</v>
      </c>
      <c r="E19" s="15" t="s">
        <v>143</v>
      </c>
      <c r="F19" s="13"/>
      <c r="G19" s="49" t="s">
        <v>144</v>
      </c>
      <c r="H19" s="9"/>
      <c r="I19" s="9"/>
      <c r="J19" s="15" t="s">
        <v>143</v>
      </c>
      <c r="K19" s="59"/>
    </row>
    <row r="20" spans="1:11" ht="87">
      <c r="A20" s="71">
        <f t="shared" si="0"/>
        <v>13</v>
      </c>
      <c r="B20" s="27">
        <v>4</v>
      </c>
      <c r="C20" s="74" t="s">
        <v>30</v>
      </c>
      <c r="D20" s="104">
        <v>1131.24</v>
      </c>
      <c r="E20" s="104">
        <v>334</v>
      </c>
      <c r="F20" s="13">
        <f t="shared" ref="F20:F27" si="2">E20/D20</f>
        <v>0.29525122874014353</v>
      </c>
      <c r="G20" s="32" t="s">
        <v>31</v>
      </c>
      <c r="H20" s="19" t="s">
        <v>13</v>
      </c>
      <c r="I20" s="19"/>
      <c r="J20" s="12">
        <f t="shared" ref="J20:J27" si="3">D20-E20</f>
        <v>797.24</v>
      </c>
      <c r="K20" s="59">
        <f t="shared" si="1"/>
        <v>0.70474877125985647</v>
      </c>
    </row>
    <row r="21" spans="1:11" ht="65.25">
      <c r="A21" s="71">
        <f t="shared" si="0"/>
        <v>14</v>
      </c>
      <c r="B21" s="10"/>
      <c r="C21" s="74" t="s">
        <v>32</v>
      </c>
      <c r="D21" s="104">
        <v>639.77807999999993</v>
      </c>
      <c r="E21" s="104">
        <v>28</v>
      </c>
      <c r="F21" s="13">
        <f t="shared" si="2"/>
        <v>4.3765175574630506E-2</v>
      </c>
      <c r="G21" s="32" t="s">
        <v>150</v>
      </c>
      <c r="H21" s="19" t="s">
        <v>13</v>
      </c>
      <c r="I21" s="19"/>
      <c r="J21" s="12">
        <f t="shared" si="3"/>
        <v>611.77807999999993</v>
      </c>
      <c r="K21" s="59">
        <f t="shared" si="1"/>
        <v>0.95623482442536945</v>
      </c>
    </row>
    <row r="22" spans="1:11" ht="152.25">
      <c r="A22" s="71">
        <f t="shared" si="0"/>
        <v>15</v>
      </c>
      <c r="B22" s="10"/>
      <c r="C22" s="74" t="s">
        <v>34</v>
      </c>
      <c r="D22" s="104">
        <v>703.3968900000001</v>
      </c>
      <c r="E22" s="104">
        <v>245</v>
      </c>
      <c r="F22" s="13">
        <f t="shared" si="2"/>
        <v>0.34830975724103636</v>
      </c>
      <c r="G22" s="32" t="s">
        <v>35</v>
      </c>
      <c r="H22" s="19" t="s">
        <v>13</v>
      </c>
      <c r="I22" s="19"/>
      <c r="J22" s="12">
        <f t="shared" si="3"/>
        <v>458.3968900000001</v>
      </c>
      <c r="K22" s="59">
        <f t="shared" si="1"/>
        <v>0.65169024275896359</v>
      </c>
    </row>
    <row r="23" spans="1:11" ht="65.25">
      <c r="A23" s="71">
        <f t="shared" si="0"/>
        <v>16</v>
      </c>
      <c r="B23" s="10"/>
      <c r="C23" s="74" t="s">
        <v>36</v>
      </c>
      <c r="D23" s="104">
        <v>315.56437000000017</v>
      </c>
      <c r="E23" s="104">
        <v>69</v>
      </c>
      <c r="F23" s="13">
        <f t="shared" si="2"/>
        <v>0.2186558640951764</v>
      </c>
      <c r="G23" s="32" t="s">
        <v>151</v>
      </c>
      <c r="H23" s="19" t="s">
        <v>13</v>
      </c>
      <c r="I23" s="19"/>
      <c r="J23" s="12">
        <f t="shared" si="3"/>
        <v>246.56437000000017</v>
      </c>
      <c r="K23" s="59">
        <f t="shared" si="1"/>
        <v>0.78134413590482354</v>
      </c>
    </row>
    <row r="24" spans="1:11" ht="43.5">
      <c r="A24" s="71">
        <f t="shared" si="0"/>
        <v>17</v>
      </c>
      <c r="B24" s="27">
        <v>5</v>
      </c>
      <c r="C24" s="11" t="s">
        <v>38</v>
      </c>
      <c r="D24" s="16">
        <v>1070.1002739726027</v>
      </c>
      <c r="E24" s="16">
        <f>222390.85/365</f>
        <v>609.29</v>
      </c>
      <c r="F24" s="13">
        <f t="shared" si="2"/>
        <v>0.56937654799217374</v>
      </c>
      <c r="G24" s="32" t="s">
        <v>152</v>
      </c>
      <c r="H24" s="19"/>
      <c r="I24" s="19" t="s">
        <v>13</v>
      </c>
      <c r="J24" s="12">
        <f t="shared" si="3"/>
        <v>460.81027397260277</v>
      </c>
      <c r="K24" s="59">
        <f t="shared" si="1"/>
        <v>0.4306234520078262</v>
      </c>
    </row>
    <row r="25" spans="1:11" ht="87">
      <c r="A25" s="71">
        <f>A24+1</f>
        <v>18</v>
      </c>
      <c r="B25" s="10"/>
      <c r="C25" s="11" t="s">
        <v>39</v>
      </c>
      <c r="D25" s="16">
        <v>800.64107332796141</v>
      </c>
      <c r="E25" s="16">
        <f>50905.0980392157/365</f>
        <v>139.46602202524849</v>
      </c>
      <c r="F25" s="13">
        <f t="shared" si="2"/>
        <v>0.174192939472292</v>
      </c>
      <c r="G25" s="105" t="s">
        <v>153</v>
      </c>
      <c r="H25" s="19" t="s">
        <v>13</v>
      </c>
      <c r="I25" s="19"/>
      <c r="J25" s="12">
        <f t="shared" si="3"/>
        <v>661.17505130271297</v>
      </c>
      <c r="K25" s="59">
        <f t="shared" si="1"/>
        <v>0.82580706052770803</v>
      </c>
    </row>
    <row r="26" spans="1:11">
      <c r="A26" s="71">
        <f>A25+1</f>
        <v>19</v>
      </c>
      <c r="B26" s="10"/>
      <c r="C26" s="11" t="s">
        <v>40</v>
      </c>
      <c r="D26" s="16">
        <v>355.32000000000005</v>
      </c>
      <c r="E26" s="16">
        <f>27353.1/365</f>
        <v>74.94</v>
      </c>
      <c r="F26" s="13">
        <f t="shared" si="2"/>
        <v>0.21090847686592365</v>
      </c>
      <c r="G26" s="32" t="s">
        <v>154</v>
      </c>
      <c r="H26" s="19" t="s">
        <v>13</v>
      </c>
      <c r="I26" s="19"/>
      <c r="J26" s="12">
        <f t="shared" si="3"/>
        <v>280.38000000000005</v>
      </c>
      <c r="K26" s="59">
        <f t="shared" si="1"/>
        <v>0.78909152313407638</v>
      </c>
    </row>
    <row r="27" spans="1:11" ht="87">
      <c r="A27" s="71">
        <f t="shared" si="0"/>
        <v>20</v>
      </c>
      <c r="B27" s="24"/>
      <c r="C27" s="11" t="s">
        <v>43</v>
      </c>
      <c r="D27" s="16">
        <v>950.3499999999998</v>
      </c>
      <c r="E27" s="16">
        <f>237713.55/365</f>
        <v>651.27</v>
      </c>
      <c r="F27" s="13">
        <f t="shared" si="2"/>
        <v>0.68529489135581645</v>
      </c>
      <c r="G27" s="32" t="s">
        <v>245</v>
      </c>
      <c r="H27" s="19"/>
      <c r="I27" s="19" t="s">
        <v>13</v>
      </c>
      <c r="J27" s="12">
        <f t="shared" si="3"/>
        <v>299.07999999999981</v>
      </c>
      <c r="K27" s="59">
        <f t="shared" si="1"/>
        <v>0.31470510864418361</v>
      </c>
    </row>
    <row r="28" spans="1:11">
      <c r="A28" s="71">
        <f t="shared" si="0"/>
        <v>21</v>
      </c>
      <c r="B28" s="27">
        <v>6</v>
      </c>
      <c r="C28" s="11" t="s">
        <v>155</v>
      </c>
      <c r="D28" s="12">
        <v>1638.4767123287672</v>
      </c>
      <c r="E28" s="15" t="s">
        <v>143</v>
      </c>
      <c r="F28" s="13"/>
      <c r="G28" s="49" t="s">
        <v>144</v>
      </c>
      <c r="H28" s="9"/>
      <c r="I28" s="9"/>
      <c r="J28" s="15" t="s">
        <v>143</v>
      </c>
      <c r="K28" s="59"/>
    </row>
    <row r="29" spans="1:11">
      <c r="A29" s="71">
        <f t="shared" si="0"/>
        <v>22</v>
      </c>
      <c r="B29" s="10"/>
      <c r="C29" s="11" t="s">
        <v>46</v>
      </c>
      <c r="D29" s="12">
        <v>2067.6493150684933</v>
      </c>
      <c r="E29" s="15" t="s">
        <v>143</v>
      </c>
      <c r="F29" s="13"/>
      <c r="G29" s="49" t="s">
        <v>144</v>
      </c>
      <c r="H29" s="9"/>
      <c r="I29" s="9"/>
      <c r="J29" s="15" t="s">
        <v>143</v>
      </c>
      <c r="K29" s="59"/>
    </row>
    <row r="30" spans="1:11">
      <c r="A30" s="71">
        <f t="shared" si="0"/>
        <v>23</v>
      </c>
      <c r="B30" s="10"/>
      <c r="C30" s="11" t="s">
        <v>47</v>
      </c>
      <c r="D30" s="52">
        <v>1609.3972602739725</v>
      </c>
      <c r="E30" s="15" t="s">
        <v>143</v>
      </c>
      <c r="F30" s="13"/>
      <c r="G30" s="49" t="s">
        <v>144</v>
      </c>
      <c r="H30" s="9"/>
      <c r="I30" s="9"/>
      <c r="J30" s="15" t="s">
        <v>143</v>
      </c>
      <c r="K30" s="59"/>
    </row>
    <row r="31" spans="1:11">
      <c r="A31" s="71">
        <f t="shared" si="0"/>
        <v>24</v>
      </c>
      <c r="B31" s="10"/>
      <c r="C31" s="11" t="s">
        <v>48</v>
      </c>
      <c r="D31" s="52">
        <v>1199.2767123287672</v>
      </c>
      <c r="E31" s="15" t="s">
        <v>143</v>
      </c>
      <c r="F31" s="13"/>
      <c r="G31" s="49" t="s">
        <v>144</v>
      </c>
      <c r="H31" s="9"/>
      <c r="I31" s="9"/>
      <c r="J31" s="15" t="s">
        <v>143</v>
      </c>
      <c r="K31" s="59"/>
    </row>
    <row r="32" spans="1:11">
      <c r="A32" s="71">
        <f t="shared" si="0"/>
        <v>25</v>
      </c>
      <c r="B32" s="10"/>
      <c r="C32" s="11" t="s">
        <v>50</v>
      </c>
      <c r="D32" s="12">
        <v>281.76986301369863</v>
      </c>
      <c r="E32" s="15" t="s">
        <v>143</v>
      </c>
      <c r="F32" s="13"/>
      <c r="G32" s="49" t="s">
        <v>144</v>
      </c>
      <c r="H32" s="9"/>
      <c r="I32" s="9"/>
      <c r="J32" s="15" t="s">
        <v>143</v>
      </c>
      <c r="K32" s="59"/>
    </row>
    <row r="33" spans="1:11">
      <c r="A33" s="71">
        <f t="shared" si="0"/>
        <v>26</v>
      </c>
      <c r="B33" s="10"/>
      <c r="C33" s="11" t="s">
        <v>52</v>
      </c>
      <c r="D33" s="12">
        <v>250.68493150684932</v>
      </c>
      <c r="E33" s="15" t="s">
        <v>143</v>
      </c>
      <c r="F33" s="13"/>
      <c r="G33" s="49" t="s">
        <v>144</v>
      </c>
      <c r="H33" s="9"/>
      <c r="I33" s="9"/>
      <c r="J33" s="15" t="s">
        <v>143</v>
      </c>
      <c r="K33" s="59"/>
    </row>
    <row r="34" spans="1:11" ht="87">
      <c r="A34" s="71">
        <f t="shared" si="0"/>
        <v>27</v>
      </c>
      <c r="B34" s="27">
        <v>7</v>
      </c>
      <c r="C34" s="11" t="s">
        <v>54</v>
      </c>
      <c r="D34" s="16">
        <v>631</v>
      </c>
      <c r="E34" s="106">
        <v>408</v>
      </c>
      <c r="F34" s="13">
        <f t="shared" ref="F34:F43" si="4">E34/D34</f>
        <v>0.64659270998415219</v>
      </c>
      <c r="G34" s="32" t="s">
        <v>156</v>
      </c>
      <c r="H34" s="19" t="s">
        <v>13</v>
      </c>
      <c r="I34" s="19"/>
      <c r="J34" s="12">
        <f t="shared" ref="J34:J43" si="5">D34-E34</f>
        <v>223</v>
      </c>
      <c r="K34" s="59">
        <f t="shared" si="1"/>
        <v>0.35340729001584786</v>
      </c>
    </row>
    <row r="35" spans="1:11" ht="130.5">
      <c r="A35" s="71">
        <f t="shared" si="0"/>
        <v>28</v>
      </c>
      <c r="B35" s="10"/>
      <c r="C35" s="11" t="s">
        <v>56</v>
      </c>
      <c r="D35" s="16">
        <v>989.86616438356168</v>
      </c>
      <c r="E35" s="107">
        <v>143.55000000000001</v>
      </c>
      <c r="F35" s="13">
        <f t="shared" si="4"/>
        <v>0.14501960483657469</v>
      </c>
      <c r="G35" s="32" t="s">
        <v>249</v>
      </c>
      <c r="H35" s="19" t="s">
        <v>13</v>
      </c>
      <c r="I35" s="19" t="s">
        <v>13</v>
      </c>
      <c r="J35" s="12">
        <f t="shared" si="5"/>
        <v>846.31616438356173</v>
      </c>
      <c r="K35" s="59">
        <f t="shared" si="1"/>
        <v>0.85498039516342539</v>
      </c>
    </row>
    <row r="36" spans="1:11" ht="43.5">
      <c r="A36" s="71">
        <f t="shared" si="0"/>
        <v>29</v>
      </c>
      <c r="B36" s="10"/>
      <c r="C36" s="11" t="s">
        <v>57</v>
      </c>
      <c r="D36" s="51">
        <v>795</v>
      </c>
      <c r="E36" s="51">
        <v>47</v>
      </c>
      <c r="F36" s="13">
        <f t="shared" si="4"/>
        <v>5.9119496855345913E-2</v>
      </c>
      <c r="G36" s="32" t="s">
        <v>157</v>
      </c>
      <c r="H36" s="19" t="s">
        <v>13</v>
      </c>
      <c r="I36" s="19" t="s">
        <v>13</v>
      </c>
      <c r="J36" s="12">
        <f t="shared" si="5"/>
        <v>748</v>
      </c>
      <c r="K36" s="59">
        <f t="shared" si="1"/>
        <v>0.9408805031446541</v>
      </c>
    </row>
    <row r="37" spans="1:11" ht="174">
      <c r="A37" s="71">
        <f t="shared" si="0"/>
        <v>30</v>
      </c>
      <c r="B37" s="10"/>
      <c r="C37" s="11" t="s">
        <v>59</v>
      </c>
      <c r="D37" s="51">
        <v>148.33000000000001</v>
      </c>
      <c r="E37" s="51">
        <v>148.33000000000001</v>
      </c>
      <c r="F37" s="13">
        <f t="shared" si="4"/>
        <v>1</v>
      </c>
      <c r="G37" s="32" t="s">
        <v>158</v>
      </c>
      <c r="H37" s="19" t="s">
        <v>13</v>
      </c>
      <c r="I37" s="19" t="s">
        <v>13</v>
      </c>
      <c r="J37" s="12">
        <f t="shared" si="5"/>
        <v>0</v>
      </c>
      <c r="K37" s="59">
        <f t="shared" si="1"/>
        <v>0</v>
      </c>
    </row>
    <row r="38" spans="1:11" ht="43.5">
      <c r="A38" s="71">
        <f t="shared" si="0"/>
        <v>31</v>
      </c>
      <c r="B38" s="10"/>
      <c r="C38" s="11" t="s">
        <v>61</v>
      </c>
      <c r="D38" s="16">
        <v>437</v>
      </c>
      <c r="E38" s="106">
        <v>7</v>
      </c>
      <c r="F38" s="13">
        <f t="shared" si="4"/>
        <v>1.6018306636155607E-2</v>
      </c>
      <c r="G38" s="32" t="s">
        <v>159</v>
      </c>
      <c r="H38" s="19" t="s">
        <v>13</v>
      </c>
      <c r="I38" s="19" t="s">
        <v>13</v>
      </c>
      <c r="J38" s="12">
        <f t="shared" si="5"/>
        <v>430</v>
      </c>
      <c r="K38" s="59">
        <f t="shared" si="1"/>
        <v>0.98398169336384445</v>
      </c>
    </row>
    <row r="39" spans="1:11" ht="87">
      <c r="A39" s="71">
        <f t="shared" si="0"/>
        <v>32</v>
      </c>
      <c r="B39" s="27">
        <v>8</v>
      </c>
      <c r="C39" s="11" t="s">
        <v>63</v>
      </c>
      <c r="D39" s="108">
        <v>805.12</v>
      </c>
      <c r="E39" s="108">
        <f>20.43+6</f>
        <v>26.43</v>
      </c>
      <c r="F39" s="13">
        <f t="shared" si="4"/>
        <v>3.2827404610492848E-2</v>
      </c>
      <c r="G39" s="47" t="s">
        <v>160</v>
      </c>
      <c r="H39" s="9" t="s">
        <v>18</v>
      </c>
      <c r="I39" s="9" t="s">
        <v>18</v>
      </c>
      <c r="J39" s="12">
        <f t="shared" si="5"/>
        <v>778.69</v>
      </c>
      <c r="K39" s="59">
        <f t="shared" si="1"/>
        <v>0.96717259538950717</v>
      </c>
    </row>
    <row r="40" spans="1:11">
      <c r="A40" s="71">
        <f>A39+1</f>
        <v>33</v>
      </c>
      <c r="B40" s="10"/>
      <c r="C40" s="11" t="s">
        <v>65</v>
      </c>
      <c r="D40" s="12">
        <v>789.75761643835619</v>
      </c>
      <c r="E40" s="12">
        <v>129.19999999999999</v>
      </c>
      <c r="F40" s="13">
        <f t="shared" si="4"/>
        <v>0.16359449698334702</v>
      </c>
      <c r="G40" s="47" t="s">
        <v>64</v>
      </c>
      <c r="H40" s="9" t="s">
        <v>18</v>
      </c>
      <c r="I40" s="9" t="s">
        <v>18</v>
      </c>
      <c r="J40" s="12">
        <f t="shared" si="5"/>
        <v>660.55761643835626</v>
      </c>
      <c r="K40" s="59">
        <f t="shared" si="1"/>
        <v>0.83640550301665306</v>
      </c>
    </row>
    <row r="41" spans="1:11">
      <c r="A41" s="71">
        <f t="shared" si="0"/>
        <v>34</v>
      </c>
      <c r="B41" s="10"/>
      <c r="C41" s="11" t="s">
        <v>161</v>
      </c>
      <c r="D41" s="12">
        <v>182.04041095890412</v>
      </c>
      <c r="E41" s="12">
        <v>182.04</v>
      </c>
      <c r="F41" s="13">
        <f t="shared" si="4"/>
        <v>0.99999774248529782</v>
      </c>
      <c r="G41" s="47" t="s">
        <v>162</v>
      </c>
      <c r="H41" s="9"/>
      <c r="I41" s="9" t="s">
        <v>18</v>
      </c>
      <c r="J41" s="12">
        <f t="shared" si="5"/>
        <v>4.1095890412634617E-4</v>
      </c>
      <c r="K41" s="59">
        <f t="shared" si="1"/>
        <v>2.2575147021565488E-6</v>
      </c>
    </row>
    <row r="42" spans="1:11">
      <c r="A42" s="71">
        <f t="shared" si="0"/>
        <v>35</v>
      </c>
      <c r="B42" s="10"/>
      <c r="C42" s="11" t="s">
        <v>67</v>
      </c>
      <c r="D42" s="12">
        <v>461.24594520547942</v>
      </c>
      <c r="E42" s="12">
        <v>105.5</v>
      </c>
      <c r="F42" s="13">
        <f t="shared" si="4"/>
        <v>0.2287282979864485</v>
      </c>
      <c r="G42" s="47" t="s">
        <v>64</v>
      </c>
      <c r="H42" s="9" t="s">
        <v>18</v>
      </c>
      <c r="I42" s="9"/>
      <c r="J42" s="12">
        <f t="shared" si="5"/>
        <v>355.74594520547942</v>
      </c>
      <c r="K42" s="59">
        <f t="shared" si="1"/>
        <v>0.77127170201355144</v>
      </c>
    </row>
    <row r="43" spans="1:11">
      <c r="A43" s="71">
        <f t="shared" si="0"/>
        <v>36</v>
      </c>
      <c r="B43" s="24"/>
      <c r="C43" s="11" t="s">
        <v>68</v>
      </c>
      <c r="D43" s="12">
        <v>497.82989041095891</v>
      </c>
      <c r="E43" s="12">
        <f>127.9+5+3.25+3</f>
        <v>139.15</v>
      </c>
      <c r="F43" s="13">
        <f t="shared" si="4"/>
        <v>0.2795131483268945</v>
      </c>
      <c r="G43" s="47" t="s">
        <v>64</v>
      </c>
      <c r="H43" s="9" t="s">
        <v>18</v>
      </c>
      <c r="I43" s="9"/>
      <c r="J43" s="12">
        <f t="shared" si="5"/>
        <v>358.67989041095893</v>
      </c>
      <c r="K43" s="59">
        <f t="shared" si="1"/>
        <v>0.72048685167310555</v>
      </c>
    </row>
    <row r="44" spans="1:11" ht="152.25">
      <c r="A44" s="71">
        <f t="shared" si="0"/>
        <v>37</v>
      </c>
      <c r="B44" s="27">
        <v>9</v>
      </c>
      <c r="C44" s="11" t="s">
        <v>69</v>
      </c>
      <c r="D44" s="12">
        <v>1681.5945205479452</v>
      </c>
      <c r="E44" s="15" t="s">
        <v>143</v>
      </c>
      <c r="F44" s="13"/>
      <c r="G44" s="118" t="s">
        <v>227</v>
      </c>
      <c r="H44" s="9"/>
      <c r="I44" s="9"/>
      <c r="J44" s="15" t="s">
        <v>143</v>
      </c>
      <c r="K44" s="59"/>
    </row>
    <row r="45" spans="1:11" ht="152.25">
      <c r="A45" s="71">
        <f t="shared" si="0"/>
        <v>38</v>
      </c>
      <c r="B45" s="10"/>
      <c r="C45" s="11" t="s">
        <v>70</v>
      </c>
      <c r="D45" s="12">
        <v>356.55</v>
      </c>
      <c r="E45" s="12">
        <v>111</v>
      </c>
      <c r="F45" s="13">
        <f>E45/D45</f>
        <v>0.31131678586453509</v>
      </c>
      <c r="G45" s="164" t="s">
        <v>242</v>
      </c>
      <c r="H45" s="9" t="s">
        <v>18</v>
      </c>
      <c r="I45" s="9"/>
      <c r="J45" s="150">
        <f>D45-E45</f>
        <v>245.55</v>
      </c>
      <c r="K45" s="59">
        <f>J45/D45</f>
        <v>0.68868321413546485</v>
      </c>
    </row>
    <row r="46" spans="1:11" ht="43.5">
      <c r="A46" s="71">
        <f t="shared" si="0"/>
        <v>39</v>
      </c>
      <c r="B46" s="10"/>
      <c r="C46" s="11" t="s">
        <v>72</v>
      </c>
      <c r="D46" s="12">
        <v>591.14246575342463</v>
      </c>
      <c r="E46" s="12">
        <v>29</v>
      </c>
      <c r="F46" s="13">
        <f t="shared" ref="F46:F49" si="6">E46/D46</f>
        <v>4.9057548188555247E-2</v>
      </c>
      <c r="G46" s="47" t="s">
        <v>228</v>
      </c>
      <c r="H46" s="9" t="s">
        <v>18</v>
      </c>
      <c r="I46" s="9"/>
      <c r="J46" s="150">
        <f t="shared" ref="J46:J49" si="7">D46-E46</f>
        <v>562.14246575342463</v>
      </c>
      <c r="K46" s="59">
        <f t="shared" ref="K46:K49" si="8">J46/D46</f>
        <v>0.95094245181144477</v>
      </c>
    </row>
    <row r="47" spans="1:11" ht="43.5">
      <c r="A47" s="71">
        <f t="shared" si="0"/>
        <v>40</v>
      </c>
      <c r="B47" s="10"/>
      <c r="C47" s="11" t="s">
        <v>74</v>
      </c>
      <c r="D47" s="12">
        <v>683.86849315068491</v>
      </c>
      <c r="E47" s="12">
        <v>29.23</v>
      </c>
      <c r="F47" s="13">
        <f t="shared" si="6"/>
        <v>4.2742135794753458E-2</v>
      </c>
      <c r="G47" s="52" t="s">
        <v>229</v>
      </c>
      <c r="H47" s="9" t="s">
        <v>18</v>
      </c>
      <c r="I47" s="9"/>
      <c r="J47" s="150">
        <f t="shared" si="7"/>
        <v>654.63849315068489</v>
      </c>
      <c r="K47" s="59">
        <f t="shared" si="8"/>
        <v>0.9572578642052465</v>
      </c>
    </row>
    <row r="48" spans="1:11" ht="152.25">
      <c r="A48" s="71">
        <f t="shared" si="0"/>
        <v>41</v>
      </c>
      <c r="B48" s="10"/>
      <c r="C48" s="11" t="s">
        <v>76</v>
      </c>
      <c r="D48" s="12">
        <v>1136.1041095890412</v>
      </c>
      <c r="E48" s="12">
        <f>87.24+13.5+20.57</f>
        <v>121.31</v>
      </c>
      <c r="F48" s="13">
        <f t="shared" si="6"/>
        <v>0.10677718615407616</v>
      </c>
      <c r="G48" s="52" t="s">
        <v>230</v>
      </c>
      <c r="H48" s="9" t="s">
        <v>18</v>
      </c>
      <c r="I48" s="9"/>
      <c r="J48" s="150">
        <f t="shared" si="7"/>
        <v>1014.7941095890412</v>
      </c>
      <c r="K48" s="59">
        <f t="shared" si="8"/>
        <v>0.89322281384592384</v>
      </c>
    </row>
    <row r="49" spans="1:11" ht="87">
      <c r="A49" s="71">
        <f t="shared" si="0"/>
        <v>42</v>
      </c>
      <c r="B49" s="24"/>
      <c r="C49" s="11" t="s">
        <v>77</v>
      </c>
      <c r="D49" s="52">
        <v>403.1013698630137</v>
      </c>
      <c r="E49" s="12">
        <f>30+20</f>
        <v>50</v>
      </c>
      <c r="F49" s="13">
        <f t="shared" si="6"/>
        <v>0.12403827855259222</v>
      </c>
      <c r="G49" s="52" t="s">
        <v>231</v>
      </c>
      <c r="H49" s="9" t="s">
        <v>18</v>
      </c>
      <c r="I49" s="9"/>
      <c r="J49" s="150">
        <f t="shared" si="7"/>
        <v>353.1013698630137</v>
      </c>
      <c r="K49" s="59">
        <f t="shared" si="8"/>
        <v>0.8759617214474078</v>
      </c>
    </row>
    <row r="50" spans="1:11">
      <c r="A50" s="71">
        <f t="shared" si="0"/>
        <v>43</v>
      </c>
      <c r="B50" s="27">
        <v>10</v>
      </c>
      <c r="C50" s="11" t="s">
        <v>78</v>
      </c>
      <c r="D50" s="12">
        <v>1870.1095890410959</v>
      </c>
      <c r="E50" s="12">
        <v>364</v>
      </c>
      <c r="F50" s="13">
        <f>E50/D50</f>
        <v>0.19464099972164842</v>
      </c>
      <c r="G50" s="49" t="s">
        <v>144</v>
      </c>
      <c r="H50" s="9" t="s">
        <v>18</v>
      </c>
      <c r="I50" s="9"/>
      <c r="J50" s="150">
        <f>D50-E50</f>
        <v>1506.1095890410959</v>
      </c>
      <c r="K50" s="59">
        <f>J50/D50</f>
        <v>0.80535900027835161</v>
      </c>
    </row>
    <row r="51" spans="1:11">
      <c r="A51" s="71">
        <f t="shared" si="0"/>
        <v>44</v>
      </c>
      <c r="B51" s="10"/>
      <c r="C51" s="11" t="s">
        <v>80</v>
      </c>
      <c r="D51" s="52">
        <v>293.74591780821919</v>
      </c>
      <c r="E51" s="52">
        <f>41687.4/365</f>
        <v>114.21205479452055</v>
      </c>
      <c r="F51" s="13">
        <f>E51/D51</f>
        <v>0.38881239830228825</v>
      </c>
      <c r="G51" s="47" t="s">
        <v>190</v>
      </c>
      <c r="H51" s="9" t="s">
        <v>18</v>
      </c>
      <c r="I51" s="9"/>
      <c r="J51" s="12">
        <f>D51-E51</f>
        <v>179.53386301369864</v>
      </c>
      <c r="K51" s="59">
        <f t="shared" si="1"/>
        <v>0.61118760169771169</v>
      </c>
    </row>
    <row r="52" spans="1:11">
      <c r="A52" s="71">
        <f>A51+1</f>
        <v>45</v>
      </c>
      <c r="B52" s="10"/>
      <c r="C52" s="11" t="s">
        <v>82</v>
      </c>
      <c r="D52" s="52">
        <v>986.6958904109589</v>
      </c>
      <c r="E52" s="15" t="s">
        <v>143</v>
      </c>
      <c r="F52" s="13"/>
      <c r="G52" s="49" t="s">
        <v>144</v>
      </c>
      <c r="H52" s="9"/>
      <c r="I52" s="9"/>
      <c r="J52" s="15" t="s">
        <v>143</v>
      </c>
      <c r="K52" s="59"/>
    </row>
    <row r="53" spans="1:11">
      <c r="A53" s="71">
        <f t="shared" si="0"/>
        <v>46</v>
      </c>
      <c r="B53" s="10"/>
      <c r="C53" s="11" t="s">
        <v>84</v>
      </c>
      <c r="D53" s="52">
        <v>1088.9753424657533</v>
      </c>
      <c r="E53" s="15" t="s">
        <v>143</v>
      </c>
      <c r="F53" s="13"/>
      <c r="G53" s="49" t="s">
        <v>144</v>
      </c>
      <c r="H53" s="9"/>
      <c r="I53" s="9"/>
      <c r="J53" s="15" t="s">
        <v>143</v>
      </c>
      <c r="K53" s="59"/>
    </row>
    <row r="54" spans="1:11">
      <c r="A54" s="71">
        <f t="shared" si="0"/>
        <v>47</v>
      </c>
      <c r="B54" s="10"/>
      <c r="C54" s="11" t="s">
        <v>86</v>
      </c>
      <c r="D54" s="52">
        <v>300</v>
      </c>
      <c r="E54" s="15" t="s">
        <v>143</v>
      </c>
      <c r="F54" s="13"/>
      <c r="G54" s="49" t="s">
        <v>144</v>
      </c>
      <c r="H54" s="9"/>
      <c r="I54" s="9"/>
      <c r="J54" s="15" t="s">
        <v>143</v>
      </c>
      <c r="K54" s="59"/>
    </row>
    <row r="55" spans="1:11">
      <c r="A55" s="71">
        <f t="shared" si="0"/>
        <v>48</v>
      </c>
      <c r="B55" s="27">
        <v>11</v>
      </c>
      <c r="C55" s="11" t="s">
        <v>87</v>
      </c>
      <c r="D55" s="16">
        <v>2260.1753424657536</v>
      </c>
      <c r="E55" s="15" t="s">
        <v>143</v>
      </c>
      <c r="F55" s="13"/>
      <c r="G55" s="49" t="s">
        <v>144</v>
      </c>
      <c r="H55" s="9"/>
      <c r="I55" s="9"/>
      <c r="J55" s="15" t="s">
        <v>143</v>
      </c>
      <c r="K55" s="59"/>
    </row>
    <row r="56" spans="1:11">
      <c r="A56" s="71">
        <f t="shared" si="0"/>
        <v>49</v>
      </c>
      <c r="B56" s="10"/>
      <c r="C56" s="11" t="s">
        <v>89</v>
      </c>
      <c r="D56" s="16">
        <v>1305.5671232876712</v>
      </c>
      <c r="E56" s="15" t="s">
        <v>143</v>
      </c>
      <c r="F56" s="13"/>
      <c r="G56" s="49" t="s">
        <v>144</v>
      </c>
      <c r="H56" s="9"/>
      <c r="I56" s="9"/>
      <c r="J56" s="15" t="s">
        <v>143</v>
      </c>
      <c r="K56" s="59"/>
    </row>
    <row r="57" spans="1:11">
      <c r="A57" s="71">
        <f t="shared" si="0"/>
        <v>50</v>
      </c>
      <c r="B57" s="10"/>
      <c r="C57" s="11" t="s">
        <v>90</v>
      </c>
      <c r="D57" s="16">
        <v>1561.2657534246575</v>
      </c>
      <c r="E57" s="15" t="s">
        <v>143</v>
      </c>
      <c r="F57" s="13"/>
      <c r="G57" s="49" t="s">
        <v>144</v>
      </c>
      <c r="H57" s="9"/>
      <c r="I57" s="9"/>
      <c r="J57" s="15" t="s">
        <v>143</v>
      </c>
      <c r="K57" s="59"/>
    </row>
    <row r="58" spans="1:11">
      <c r="A58" s="71">
        <f t="shared" si="0"/>
        <v>51</v>
      </c>
      <c r="B58" s="10"/>
      <c r="C58" s="11" t="s">
        <v>91</v>
      </c>
      <c r="D58" s="16">
        <v>1388.7945205479452</v>
      </c>
      <c r="E58" s="15" t="s">
        <v>143</v>
      </c>
      <c r="F58" s="13"/>
      <c r="G58" s="49" t="s">
        <v>144</v>
      </c>
      <c r="H58" s="9"/>
      <c r="I58" s="9"/>
      <c r="J58" s="15" t="s">
        <v>143</v>
      </c>
      <c r="K58" s="59"/>
    </row>
    <row r="59" spans="1:11" ht="87">
      <c r="A59" s="71">
        <f t="shared" si="0"/>
        <v>52</v>
      </c>
      <c r="B59" s="27">
        <v>12</v>
      </c>
      <c r="C59" s="11" t="s">
        <v>92</v>
      </c>
      <c r="D59" s="51">
        <v>1239.2</v>
      </c>
      <c r="E59" s="16">
        <v>519.15</v>
      </c>
      <c r="F59" s="20">
        <f>E59/D59</f>
        <v>0.41893963847643639</v>
      </c>
      <c r="G59" s="161" t="s">
        <v>239</v>
      </c>
      <c r="H59" s="19" t="s">
        <v>13</v>
      </c>
      <c r="I59" s="19"/>
      <c r="J59" s="178">
        <f>D59-E59</f>
        <v>720.05000000000007</v>
      </c>
      <c r="K59" s="179">
        <f>J59/D59</f>
        <v>0.58106036152356366</v>
      </c>
    </row>
    <row r="60" spans="1:11" ht="87">
      <c r="A60" s="71">
        <f t="shared" si="0"/>
        <v>53</v>
      </c>
      <c r="B60" s="10"/>
      <c r="C60" s="11" t="s">
        <v>93</v>
      </c>
      <c r="D60" s="51">
        <v>277.14</v>
      </c>
      <c r="E60" s="16">
        <v>176.39000000000001</v>
      </c>
      <c r="F60" s="20">
        <f t="shared" ref="F60:F63" si="9">E60/D60</f>
        <v>0.63646532438478753</v>
      </c>
      <c r="G60" s="161" t="s">
        <v>239</v>
      </c>
      <c r="H60" s="19" t="s">
        <v>13</v>
      </c>
      <c r="I60" s="19"/>
      <c r="J60" s="178">
        <f t="shared" ref="J60:J63" si="10">D60-E60</f>
        <v>100.74999999999997</v>
      </c>
      <c r="K60" s="179">
        <f t="shared" ref="K60:K63" si="11">J60/D60</f>
        <v>0.36353467561521247</v>
      </c>
    </row>
    <row r="61" spans="1:11" ht="174">
      <c r="A61" s="71">
        <f t="shared" si="0"/>
        <v>54</v>
      </c>
      <c r="B61" s="10"/>
      <c r="C61" s="11" t="s">
        <v>94</v>
      </c>
      <c r="D61" s="51">
        <v>258</v>
      </c>
      <c r="E61" s="16">
        <v>54</v>
      </c>
      <c r="F61" s="20">
        <f t="shared" si="9"/>
        <v>0.20930232558139536</v>
      </c>
      <c r="G61" s="192" t="s">
        <v>254</v>
      </c>
      <c r="H61" s="19" t="s">
        <v>13</v>
      </c>
      <c r="I61" s="19"/>
      <c r="J61" s="178">
        <f t="shared" si="10"/>
        <v>204</v>
      </c>
      <c r="K61" s="179">
        <f t="shared" si="11"/>
        <v>0.79069767441860461</v>
      </c>
    </row>
    <row r="62" spans="1:11" ht="87">
      <c r="A62" s="71">
        <f t="shared" si="0"/>
        <v>55</v>
      </c>
      <c r="B62" s="10"/>
      <c r="C62" s="11" t="s">
        <v>95</v>
      </c>
      <c r="D62" s="51">
        <v>187.2</v>
      </c>
      <c r="E62" s="51">
        <v>121.96000000000001</v>
      </c>
      <c r="F62" s="20">
        <f t="shared" si="9"/>
        <v>0.65149572649572662</v>
      </c>
      <c r="G62" s="161" t="s">
        <v>239</v>
      </c>
      <c r="H62" s="19" t="s">
        <v>13</v>
      </c>
      <c r="I62" s="19"/>
      <c r="J62" s="178">
        <f t="shared" si="10"/>
        <v>65.239999999999981</v>
      </c>
      <c r="K62" s="179">
        <f t="shared" si="11"/>
        <v>0.34850427350427343</v>
      </c>
    </row>
    <row r="63" spans="1:11" ht="87">
      <c r="A63" s="71">
        <f>A62+1</f>
        <v>56</v>
      </c>
      <c r="B63" s="10"/>
      <c r="C63" s="11" t="s">
        <v>96</v>
      </c>
      <c r="D63" s="51">
        <v>245.2</v>
      </c>
      <c r="E63" s="16">
        <v>143.17000000000002</v>
      </c>
      <c r="F63" s="20">
        <f t="shared" si="9"/>
        <v>0.58389070146818933</v>
      </c>
      <c r="G63" s="161" t="s">
        <v>239</v>
      </c>
      <c r="H63" s="19" t="s">
        <v>13</v>
      </c>
      <c r="I63" s="19"/>
      <c r="J63" s="178">
        <f t="shared" si="10"/>
        <v>102.02999999999997</v>
      </c>
      <c r="K63" s="179">
        <f t="shared" si="11"/>
        <v>0.41610929853181067</v>
      </c>
    </row>
    <row r="64" spans="1:11" ht="43.5">
      <c r="A64" s="71">
        <f t="shared" si="0"/>
        <v>57</v>
      </c>
      <c r="B64" s="27">
        <v>13</v>
      </c>
      <c r="C64" s="11" t="s">
        <v>97</v>
      </c>
      <c r="D64" s="12">
        <v>2509.8575342465751</v>
      </c>
      <c r="E64" s="15" t="s">
        <v>143</v>
      </c>
      <c r="F64" s="13"/>
      <c r="G64" s="49" t="s">
        <v>252</v>
      </c>
      <c r="H64" s="9"/>
      <c r="I64" s="9"/>
      <c r="J64" s="15" t="s">
        <v>143</v>
      </c>
      <c r="K64" s="59"/>
    </row>
    <row r="65" spans="1:11">
      <c r="A65" s="71">
        <f t="shared" si="0"/>
        <v>58</v>
      </c>
      <c r="B65" s="10"/>
      <c r="C65" s="11" t="s">
        <v>99</v>
      </c>
      <c r="D65" s="12">
        <v>976.66849315068498</v>
      </c>
      <c r="E65" s="12">
        <v>521</v>
      </c>
      <c r="F65" s="13">
        <f>E65/D65</f>
        <v>0.53344610136780335</v>
      </c>
      <c r="G65" s="47" t="s">
        <v>163</v>
      </c>
      <c r="H65" s="19" t="s">
        <v>13</v>
      </c>
      <c r="I65" s="9"/>
      <c r="J65" s="12">
        <f>D65-E65</f>
        <v>455.66849315068498</v>
      </c>
      <c r="K65" s="59">
        <f t="shared" si="1"/>
        <v>0.46655389863219671</v>
      </c>
    </row>
    <row r="66" spans="1:11" ht="65.25">
      <c r="A66" s="71">
        <f t="shared" si="0"/>
        <v>59</v>
      </c>
      <c r="B66" s="10"/>
      <c r="C66" s="11" t="s">
        <v>101</v>
      </c>
      <c r="D66" s="12">
        <v>250</v>
      </c>
      <c r="E66" s="12">
        <v>83</v>
      </c>
      <c r="F66" s="13">
        <f>E66/D66</f>
        <v>0.33200000000000002</v>
      </c>
      <c r="G66" s="47" t="s">
        <v>234</v>
      </c>
      <c r="H66" s="19" t="s">
        <v>13</v>
      </c>
      <c r="I66" s="19" t="s">
        <v>13</v>
      </c>
      <c r="J66" s="12">
        <f>D66-E66</f>
        <v>167</v>
      </c>
      <c r="K66" s="59">
        <f t="shared" si="1"/>
        <v>0.66800000000000004</v>
      </c>
    </row>
    <row r="67" spans="1:11">
      <c r="A67" s="71">
        <f>A66+1</f>
        <v>60</v>
      </c>
      <c r="B67" s="10"/>
      <c r="C67" s="11" t="s">
        <v>103</v>
      </c>
      <c r="D67" s="12">
        <v>608.66301369863015</v>
      </c>
      <c r="E67" s="12">
        <v>190.29</v>
      </c>
      <c r="F67" s="13">
        <f t="shared" ref="F67" si="12">E67/D67</f>
        <v>0.31263604936937905</v>
      </c>
      <c r="G67" s="52" t="s">
        <v>259</v>
      </c>
      <c r="H67" s="19" t="s">
        <v>13</v>
      </c>
      <c r="I67" s="9"/>
      <c r="J67" s="12">
        <f t="shared" ref="J67" si="13">D67-E67</f>
        <v>418.37301369863019</v>
      </c>
      <c r="K67" s="59">
        <f t="shared" si="1"/>
        <v>0.68736395063062095</v>
      </c>
    </row>
    <row r="68" spans="1:11">
      <c r="A68" s="71">
        <f t="shared" si="0"/>
        <v>61</v>
      </c>
      <c r="B68" s="10"/>
      <c r="C68" s="11" t="s">
        <v>104</v>
      </c>
      <c r="D68" s="52">
        <v>873.38630136986296</v>
      </c>
      <c r="E68" s="12">
        <v>6</v>
      </c>
      <c r="F68" s="13">
        <f t="shared" ref="F68" si="14">E68/D68</f>
        <v>6.8698123506051086E-3</v>
      </c>
      <c r="G68" s="52" t="s">
        <v>207</v>
      </c>
      <c r="H68" s="9"/>
      <c r="I68" s="19" t="s">
        <v>13</v>
      </c>
      <c r="J68" s="12">
        <f t="shared" ref="J68" si="15">D68-E68</f>
        <v>867.38630136986296</v>
      </c>
      <c r="K68" s="59">
        <f t="shared" si="1"/>
        <v>0.99313018764939487</v>
      </c>
    </row>
    <row r="69" spans="1:11">
      <c r="A69" s="71">
        <f t="shared" si="0"/>
        <v>62</v>
      </c>
      <c r="B69" s="24"/>
      <c r="C69" s="11" t="s">
        <v>106</v>
      </c>
      <c r="D69" s="109">
        <v>200.77857534246573</v>
      </c>
      <c r="E69" s="110">
        <f>16.2</f>
        <v>16.2</v>
      </c>
      <c r="F69" s="13">
        <f>E69/D69</f>
        <v>8.0685899739889294E-2</v>
      </c>
      <c r="G69" s="101" t="s">
        <v>100</v>
      </c>
      <c r="H69" s="19" t="s">
        <v>13</v>
      </c>
      <c r="I69" s="111"/>
      <c r="J69" s="12">
        <f>D69-E69</f>
        <v>184.57857534246574</v>
      </c>
      <c r="K69" s="59">
        <f t="shared" si="1"/>
        <v>0.91931410026011073</v>
      </c>
    </row>
    <row r="70" spans="1:11">
      <c r="A70" s="71">
        <f t="shared" si="0"/>
        <v>63</v>
      </c>
      <c r="B70" s="27">
        <v>14</v>
      </c>
      <c r="C70" s="11" t="s">
        <v>107</v>
      </c>
      <c r="D70" s="52">
        <v>1084.9643835616439</v>
      </c>
      <c r="E70" s="15" t="s">
        <v>143</v>
      </c>
      <c r="F70" s="13"/>
      <c r="G70" s="49" t="s">
        <v>144</v>
      </c>
      <c r="H70" s="9"/>
      <c r="I70" s="9"/>
      <c r="J70" s="15" t="s">
        <v>143</v>
      </c>
      <c r="K70" s="59"/>
    </row>
    <row r="71" spans="1:11">
      <c r="A71" s="71">
        <f t="shared" si="0"/>
        <v>64</v>
      </c>
      <c r="B71" s="10"/>
      <c r="C71" s="11" t="s">
        <v>109</v>
      </c>
      <c r="D71" s="52">
        <v>366</v>
      </c>
      <c r="E71" s="15" t="s">
        <v>143</v>
      </c>
      <c r="F71" s="13"/>
      <c r="G71" s="49" t="s">
        <v>144</v>
      </c>
      <c r="H71" s="9"/>
      <c r="I71" s="9"/>
      <c r="J71" s="15" t="s">
        <v>143</v>
      </c>
      <c r="K71" s="59"/>
    </row>
    <row r="72" spans="1:11">
      <c r="A72" s="71">
        <f t="shared" si="0"/>
        <v>65</v>
      </c>
      <c r="B72" s="10"/>
      <c r="C72" s="11" t="s">
        <v>110</v>
      </c>
      <c r="D72" s="52">
        <v>1106.0219178082191</v>
      </c>
      <c r="E72" s="15" t="s">
        <v>143</v>
      </c>
      <c r="F72" s="13"/>
      <c r="G72" s="49" t="s">
        <v>144</v>
      </c>
      <c r="H72" s="9"/>
      <c r="I72" s="9"/>
      <c r="J72" s="15" t="s">
        <v>143</v>
      </c>
      <c r="K72" s="59"/>
    </row>
    <row r="73" spans="1:11">
      <c r="A73" s="71">
        <f t="shared" si="0"/>
        <v>66</v>
      </c>
      <c r="B73" s="10"/>
      <c r="C73" s="11" t="s">
        <v>111</v>
      </c>
      <c r="D73" s="12">
        <v>200.54794520547946</v>
      </c>
      <c r="E73" s="15" t="s">
        <v>143</v>
      </c>
      <c r="F73" s="13"/>
      <c r="G73" s="49" t="s">
        <v>144</v>
      </c>
      <c r="H73" s="9"/>
      <c r="I73" s="9"/>
      <c r="J73" s="15" t="s">
        <v>143</v>
      </c>
      <c r="K73" s="59"/>
    </row>
    <row r="74" spans="1:11" ht="108.75">
      <c r="A74" s="71">
        <f t="shared" ref="A74:A83" si="16">A73+1</f>
        <v>67</v>
      </c>
      <c r="B74" s="27">
        <v>15</v>
      </c>
      <c r="C74" s="11" t="s">
        <v>113</v>
      </c>
      <c r="D74" s="16">
        <v>744</v>
      </c>
      <c r="E74" s="16">
        <v>664</v>
      </c>
      <c r="F74" s="13">
        <f>E74/D74</f>
        <v>0.89247311827956988</v>
      </c>
      <c r="G74" s="161" t="s">
        <v>164</v>
      </c>
      <c r="H74" s="19" t="s">
        <v>13</v>
      </c>
      <c r="I74" s="54"/>
      <c r="J74" s="12">
        <f>D74-E74</f>
        <v>80</v>
      </c>
      <c r="K74" s="59">
        <f t="shared" si="1"/>
        <v>0.10752688172043011</v>
      </c>
    </row>
    <row r="75" spans="1:11" ht="108.75">
      <c r="A75" s="71">
        <f t="shared" si="16"/>
        <v>68</v>
      </c>
      <c r="B75" s="10"/>
      <c r="C75" s="11" t="s">
        <v>114</v>
      </c>
      <c r="D75" s="16">
        <v>664.85</v>
      </c>
      <c r="E75" s="16">
        <v>128.91999999999999</v>
      </c>
      <c r="F75" s="13">
        <f>E75/D75</f>
        <v>0.19390840039106563</v>
      </c>
      <c r="G75" s="145" t="s">
        <v>165</v>
      </c>
      <c r="H75" s="19" t="s">
        <v>13</v>
      </c>
      <c r="I75" s="19"/>
      <c r="J75" s="12">
        <f>D75-E75</f>
        <v>535.93000000000006</v>
      </c>
      <c r="K75" s="59">
        <f t="shared" si="1"/>
        <v>0.80609159960893439</v>
      </c>
    </row>
    <row r="76" spans="1:11" ht="87">
      <c r="A76" s="71">
        <f t="shared" si="16"/>
        <v>69</v>
      </c>
      <c r="B76" s="10"/>
      <c r="C76" s="11" t="s">
        <v>115</v>
      </c>
      <c r="D76" s="16">
        <v>301.43</v>
      </c>
      <c r="E76" s="16">
        <v>80.849999999999994</v>
      </c>
      <c r="F76" s="13">
        <f>E76/D76</f>
        <v>0.26822147762332876</v>
      </c>
      <c r="G76" s="145" t="s">
        <v>166</v>
      </c>
      <c r="H76" s="19" t="s">
        <v>13</v>
      </c>
      <c r="I76" s="19"/>
      <c r="J76" s="12">
        <f>D76-E76</f>
        <v>220.58</v>
      </c>
      <c r="K76" s="59">
        <f t="shared" si="1"/>
        <v>0.73177852237667118</v>
      </c>
    </row>
    <row r="77" spans="1:11" ht="108.75">
      <c r="A77" s="71">
        <f t="shared" si="16"/>
        <v>70</v>
      </c>
      <c r="B77" s="10"/>
      <c r="C77" s="11" t="s">
        <v>116</v>
      </c>
      <c r="D77" s="16">
        <v>308.58</v>
      </c>
      <c r="E77" s="16">
        <v>78.03</v>
      </c>
      <c r="F77" s="13">
        <f t="shared" ref="F77:F78" si="17">E77/D77</f>
        <v>0.25286797588955862</v>
      </c>
      <c r="G77" s="32" t="s">
        <v>167</v>
      </c>
      <c r="H77" s="19" t="s">
        <v>13</v>
      </c>
      <c r="I77" s="19"/>
      <c r="J77" s="12">
        <f t="shared" ref="J77:J78" si="18">D77-E77</f>
        <v>230.54999999999998</v>
      </c>
      <c r="K77" s="59">
        <f t="shared" ref="K77:K84" si="19">J77/D77</f>
        <v>0.74713202411044133</v>
      </c>
    </row>
    <row r="78" spans="1:11" ht="109.5" thickBot="1">
      <c r="A78" s="71">
        <f t="shared" si="16"/>
        <v>71</v>
      </c>
      <c r="B78" s="10"/>
      <c r="C78" s="11" t="s">
        <v>117</v>
      </c>
      <c r="D78" s="167">
        <v>557.37000000000012</v>
      </c>
      <c r="E78" s="167">
        <v>147.75</v>
      </c>
      <c r="F78" s="29">
        <f t="shared" si="17"/>
        <v>0.26508423488885297</v>
      </c>
      <c r="G78" s="146" t="s">
        <v>168</v>
      </c>
      <c r="H78" s="21" t="s">
        <v>13</v>
      </c>
      <c r="I78" s="21"/>
      <c r="J78" s="28">
        <f t="shared" si="18"/>
        <v>409.62000000000012</v>
      </c>
      <c r="K78" s="168">
        <f t="shared" si="19"/>
        <v>0.73491576511114709</v>
      </c>
    </row>
    <row r="79" spans="1:11" ht="108.75">
      <c r="A79" s="71">
        <f t="shared" si="16"/>
        <v>72</v>
      </c>
      <c r="B79" s="27">
        <v>16</v>
      </c>
      <c r="C79" s="11" t="s">
        <v>119</v>
      </c>
      <c r="D79" s="51">
        <f>592976.99/365</f>
        <v>1624.5944931506849</v>
      </c>
      <c r="E79" s="51">
        <f>(319.3+209.65+98.8+86.5)</f>
        <v>714.25</v>
      </c>
      <c r="F79" s="166">
        <f t="shared" ref="F79:F84" si="20">E79/D79</f>
        <v>0.43964817252015126</v>
      </c>
      <c r="G79" s="18" t="s">
        <v>169</v>
      </c>
      <c r="H79" s="19" t="s">
        <v>13</v>
      </c>
      <c r="I79" s="19" t="s">
        <v>13</v>
      </c>
      <c r="J79" s="16">
        <f>D79-E79</f>
        <v>910.34449315068491</v>
      </c>
      <c r="K79" s="174">
        <f>100%-F79</f>
        <v>0.56035182747984869</v>
      </c>
    </row>
    <row r="80" spans="1:11" ht="43.5">
      <c r="A80" s="71">
        <f t="shared" si="16"/>
        <v>73</v>
      </c>
      <c r="B80" s="10"/>
      <c r="C80" s="11" t="s">
        <v>120</v>
      </c>
      <c r="D80" s="16">
        <f>272565.8/365</f>
        <v>746.75561643835613</v>
      </c>
      <c r="E80" s="16">
        <f>(58.7+60.66)</f>
        <v>119.36</v>
      </c>
      <c r="F80" s="166">
        <f t="shared" si="20"/>
        <v>0.15983810147861544</v>
      </c>
      <c r="G80" s="18" t="s">
        <v>170</v>
      </c>
      <c r="H80" s="19" t="s">
        <v>13</v>
      </c>
      <c r="I80" s="19" t="s">
        <v>14</v>
      </c>
      <c r="J80" s="16">
        <f>D80-E80</f>
        <v>627.39561643835611</v>
      </c>
      <c r="K80" s="174">
        <f>100%-F80</f>
        <v>0.84016189852138456</v>
      </c>
    </row>
    <row r="81" spans="1:11" ht="43.5">
      <c r="A81" s="71">
        <f t="shared" si="16"/>
        <v>74</v>
      </c>
      <c r="B81" s="10"/>
      <c r="C81" s="11" t="s">
        <v>122</v>
      </c>
      <c r="D81" s="51">
        <f>201480/365</f>
        <v>552</v>
      </c>
      <c r="E81" s="51">
        <f>(145.65+40.38)</f>
        <v>186.03</v>
      </c>
      <c r="F81" s="166">
        <f t="shared" si="20"/>
        <v>0.33701086956521742</v>
      </c>
      <c r="G81" s="18" t="s">
        <v>171</v>
      </c>
      <c r="H81" s="19" t="s">
        <v>18</v>
      </c>
      <c r="I81" s="19" t="s">
        <v>42</v>
      </c>
      <c r="J81" s="16">
        <f>D81-E81</f>
        <v>365.97</v>
      </c>
      <c r="K81" s="174">
        <f>100%-F81</f>
        <v>0.66298913043478258</v>
      </c>
    </row>
    <row r="82" spans="1:11">
      <c r="A82" s="71">
        <f t="shared" si="16"/>
        <v>75</v>
      </c>
      <c r="B82" s="10"/>
      <c r="C82" s="11" t="s">
        <v>124</v>
      </c>
      <c r="D82" s="16">
        <f>233707/365</f>
        <v>640.29315068493156</v>
      </c>
      <c r="E82" s="16">
        <f>124.26</f>
        <v>124.26</v>
      </c>
      <c r="F82" s="166">
        <f t="shared" si="20"/>
        <v>0.19406735784550741</v>
      </c>
      <c r="G82" s="18" t="s">
        <v>172</v>
      </c>
      <c r="H82" s="19" t="s">
        <v>18</v>
      </c>
      <c r="I82" s="19" t="s">
        <v>42</v>
      </c>
      <c r="J82" s="16">
        <f>D82-E82</f>
        <v>516.03315068493157</v>
      </c>
      <c r="K82" s="174">
        <f>100%-F82</f>
        <v>0.80593264215449256</v>
      </c>
    </row>
    <row r="83" spans="1:11">
      <c r="A83" s="71">
        <f t="shared" si="16"/>
        <v>76</v>
      </c>
      <c r="B83" s="24"/>
      <c r="C83" s="25" t="s">
        <v>125</v>
      </c>
      <c r="D83" s="51">
        <f>193455.04/365</f>
        <v>530.01380821917815</v>
      </c>
      <c r="E83" s="51">
        <f>35</f>
        <v>35</v>
      </c>
      <c r="F83" s="166">
        <f t="shared" si="20"/>
        <v>6.6036015396652367E-2</v>
      </c>
      <c r="G83" s="18" t="s">
        <v>173</v>
      </c>
      <c r="H83" s="19" t="s">
        <v>13</v>
      </c>
      <c r="I83" s="19" t="s">
        <v>13</v>
      </c>
      <c r="J83" s="16">
        <f>D83-E83</f>
        <v>495.01380821917815</v>
      </c>
      <c r="K83" s="174">
        <f>100%-F83</f>
        <v>0.93396398460334762</v>
      </c>
    </row>
    <row r="84" spans="1:11">
      <c r="C84" s="55" t="s">
        <v>127</v>
      </c>
      <c r="D84" s="169">
        <f>SUM(D8:D83)</f>
        <v>59015.419411437542</v>
      </c>
      <c r="E84" s="170">
        <f>SUM(E8:E83)</f>
        <v>9501.4291012624235</v>
      </c>
      <c r="F84" s="171">
        <f t="shared" si="20"/>
        <v>0.16099909474541479</v>
      </c>
      <c r="G84" s="170"/>
      <c r="H84" s="170"/>
      <c r="I84" s="170"/>
      <c r="J84" s="172">
        <f>SUM(J8:J83)</f>
        <v>22151.047844421704</v>
      </c>
      <c r="K84" s="173">
        <f t="shared" si="19"/>
        <v>0.37534339441004971</v>
      </c>
    </row>
    <row r="85" spans="1:11">
      <c r="D85" s="133">
        <f>D84*366</f>
        <v>21599643.504586142</v>
      </c>
      <c r="E85" s="133">
        <f>E84*366</f>
        <v>3477523.051062047</v>
      </c>
    </row>
    <row r="86" spans="1:11">
      <c r="A86" s="136" t="s">
        <v>200</v>
      </c>
      <c r="B86" s="140" t="s">
        <v>213</v>
      </c>
      <c r="D86" s="5"/>
      <c r="G86" s="8"/>
      <c r="H86" s="34"/>
      <c r="J86" s="6"/>
      <c r="K86" s="8"/>
    </row>
    <row r="87" spans="1:11">
      <c r="B87" s="34" t="s">
        <v>204</v>
      </c>
      <c r="D87" s="5"/>
      <c r="E87" s="5"/>
      <c r="F87" s="5"/>
      <c r="G87" s="38">
        <f>D84</f>
        <v>59015.419411437542</v>
      </c>
      <c r="H87" s="38" t="s">
        <v>205</v>
      </c>
      <c r="I87" s="8"/>
      <c r="J87" s="6"/>
      <c r="K87" s="8"/>
    </row>
    <row r="88" spans="1:11">
      <c r="B88" s="34" t="s">
        <v>256</v>
      </c>
      <c r="D88" s="5"/>
      <c r="E88" s="5"/>
      <c r="F88" s="5"/>
      <c r="G88" s="38">
        <f>E84</f>
        <v>9501.4291012624235</v>
      </c>
      <c r="H88" s="38" t="s">
        <v>205</v>
      </c>
      <c r="I88" s="139">
        <f>G88/G87</f>
        <v>0.16099909474541479</v>
      </c>
      <c r="J88" s="143"/>
      <c r="K88" s="8"/>
    </row>
    <row r="89" spans="1:11">
      <c r="B89" s="34" t="s">
        <v>257</v>
      </c>
      <c r="D89" s="5"/>
      <c r="E89" s="5"/>
      <c r="F89" s="5"/>
      <c r="G89" s="38">
        <f>J84</f>
        <v>22151.047844421704</v>
      </c>
      <c r="H89" s="38" t="s">
        <v>205</v>
      </c>
      <c r="I89" s="139">
        <f>G89/G87</f>
        <v>0.37534339441004971</v>
      </c>
      <c r="J89" s="141"/>
      <c r="K89" s="142"/>
    </row>
    <row r="90" spans="1:11" s="44" customFormat="1">
      <c r="A90" s="91"/>
      <c r="C90" s="92"/>
      <c r="D90" s="93"/>
      <c r="E90" s="94"/>
      <c r="F90" s="95"/>
      <c r="G90" s="93"/>
      <c r="H90" s="93"/>
      <c r="I90" s="93"/>
      <c r="J90" s="93"/>
      <c r="K90" s="96"/>
    </row>
    <row r="91" spans="1:11" s="44" customFormat="1">
      <c r="A91" s="91"/>
      <c r="B91" s="140"/>
      <c r="C91" s="92"/>
      <c r="D91" s="93"/>
      <c r="E91" s="94"/>
      <c r="F91" s="95"/>
      <c r="G91" s="93"/>
      <c r="H91" s="93"/>
      <c r="I91" s="93"/>
      <c r="J91" s="93"/>
      <c r="K91" s="96"/>
    </row>
    <row r="92" spans="1:11">
      <c r="A92" s="33" t="s">
        <v>128</v>
      </c>
    </row>
    <row r="93" spans="1:11">
      <c r="A93" s="125" t="s">
        <v>197</v>
      </c>
      <c r="B93" s="34" t="s">
        <v>198</v>
      </c>
    </row>
    <row r="94" spans="1:11" s="34" customFormat="1">
      <c r="A94" s="34" t="s">
        <v>194</v>
      </c>
      <c r="D94" s="35"/>
      <c r="E94" s="35"/>
      <c r="F94" s="35"/>
      <c r="G94" s="5"/>
      <c r="J94" s="35"/>
    </row>
    <row r="95" spans="1:11">
      <c r="C95" s="34" t="s">
        <v>174</v>
      </c>
      <c r="D95" s="34"/>
      <c r="E95" s="38" t="s">
        <v>193</v>
      </c>
    </row>
    <row r="96" spans="1:11">
      <c r="A96" s="5"/>
      <c r="B96" s="5"/>
      <c r="C96" s="5" t="s">
        <v>175</v>
      </c>
      <c r="D96" s="34"/>
      <c r="E96" s="123">
        <v>1.89E-3</v>
      </c>
      <c r="F96" s="5"/>
      <c r="G96" s="122"/>
    </row>
    <row r="97" spans="1:10">
      <c r="A97" s="5"/>
      <c r="B97" s="5"/>
      <c r="C97" s="5" t="s">
        <v>176</v>
      </c>
      <c r="D97" s="34"/>
      <c r="E97" s="123">
        <v>1.15E-3</v>
      </c>
      <c r="F97" s="5"/>
      <c r="G97" s="122"/>
    </row>
    <row r="98" spans="1:10">
      <c r="A98" s="5"/>
      <c r="B98" s="5"/>
      <c r="C98" s="5" t="s">
        <v>177</v>
      </c>
      <c r="D98" s="34"/>
      <c r="E98" s="123">
        <v>1.0200000000000001E-3</v>
      </c>
      <c r="F98" s="5"/>
      <c r="G98" s="122"/>
    </row>
    <row r="99" spans="1:10">
      <c r="A99" s="5"/>
      <c r="B99" s="5"/>
      <c r="C99" s="36" t="s">
        <v>178</v>
      </c>
      <c r="D99" s="34"/>
      <c r="E99" s="123">
        <v>3.8999999999999998E-3</v>
      </c>
      <c r="F99" s="5"/>
      <c r="G99" s="122"/>
    </row>
    <row r="100" spans="1:10">
      <c r="A100" s="5"/>
      <c r="B100" s="5"/>
      <c r="C100" s="37" t="s">
        <v>179</v>
      </c>
      <c r="D100" s="34"/>
      <c r="E100" s="123">
        <v>9.1E-4</v>
      </c>
      <c r="F100" s="5"/>
      <c r="G100" s="122"/>
    </row>
    <row r="101" spans="1:10">
      <c r="A101" s="112" t="s">
        <v>180</v>
      </c>
      <c r="D101" s="5"/>
    </row>
    <row r="102" spans="1:10" ht="24">
      <c r="A102" s="112" t="s">
        <v>181</v>
      </c>
      <c r="F102" s="38" t="s">
        <v>134</v>
      </c>
      <c r="G102" s="113" t="s">
        <v>191</v>
      </c>
      <c r="H102" s="40"/>
      <c r="I102" s="40"/>
      <c r="J102" s="41"/>
    </row>
    <row r="103" spans="1:10" s="34" customFormat="1">
      <c r="B103" s="112"/>
      <c r="D103" s="35"/>
      <c r="E103" s="35"/>
      <c r="F103" s="35"/>
      <c r="G103" s="5" t="s">
        <v>192</v>
      </c>
      <c r="J103" s="35"/>
    </row>
  </sheetData>
  <mergeCells count="12">
    <mergeCell ref="J6:J7"/>
    <mergeCell ref="K6:K7"/>
    <mergeCell ref="E5:K5"/>
    <mergeCell ref="H4:J4"/>
    <mergeCell ref="A6:A7"/>
    <mergeCell ref="B6:B7"/>
    <mergeCell ref="C6:C7"/>
    <mergeCell ref="D6:D7"/>
    <mergeCell ref="E6:E7"/>
    <mergeCell ref="F6:F7"/>
    <mergeCell ref="G6:G7"/>
    <mergeCell ref="H6:I6"/>
  </mergeCells>
  <printOptions horizontalCentered="1"/>
  <pageMargins left="0.39370078740157483" right="0" top="0.39370078740157483" bottom="0.19685039370078741" header="0.31496062992125984" footer="0.31496062992125984"/>
  <pageSetup paperSize="9" scale="75"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dimension ref="A1:F121"/>
  <sheetViews>
    <sheetView tabSelected="1" topLeftCell="A83" zoomScale="75" zoomScaleNormal="75" workbookViewId="0">
      <selection activeCell="I93" sqref="I93"/>
    </sheetView>
  </sheetViews>
  <sheetFormatPr defaultRowHeight="21.75"/>
  <cols>
    <col min="1" max="2" width="4.625" style="6" customWidth="1"/>
    <col min="3" max="3" width="13.625" style="5" customWidth="1"/>
    <col min="4" max="4" width="34.625" style="35" customWidth="1"/>
    <col min="5" max="5" width="34.625" style="126" customWidth="1"/>
    <col min="6" max="16384" width="9" style="5"/>
  </cols>
  <sheetData>
    <row r="1" spans="1:5">
      <c r="A1" s="114" t="s">
        <v>225</v>
      </c>
      <c r="B1" s="115"/>
      <c r="C1" s="116"/>
      <c r="D1" s="117"/>
      <c r="E1" s="131"/>
    </row>
    <row r="2" spans="1:5">
      <c r="A2" s="114" t="s">
        <v>224</v>
      </c>
      <c r="B2" s="115"/>
      <c r="C2" s="116"/>
      <c r="D2" s="117"/>
      <c r="E2" s="131"/>
    </row>
    <row r="3" spans="1:5" s="157" customFormat="1">
      <c r="A3" s="158" t="s">
        <v>219</v>
      </c>
      <c r="B3" s="159"/>
      <c r="C3" s="159"/>
      <c r="D3" s="159"/>
      <c r="E3" s="159"/>
    </row>
    <row r="4" spans="1:5">
      <c r="B4" s="5"/>
    </row>
    <row r="5" spans="1:5">
      <c r="D5" s="223" t="s">
        <v>208</v>
      </c>
      <c r="E5" s="223"/>
    </row>
    <row r="6" spans="1:5" s="124" customFormat="1" ht="65.25">
      <c r="A6" s="100" t="s">
        <v>0</v>
      </c>
      <c r="B6" s="185" t="s">
        <v>1</v>
      </c>
      <c r="C6" s="100" t="s">
        <v>2</v>
      </c>
      <c r="D6" s="184" t="s">
        <v>199</v>
      </c>
      <c r="E6" s="130" t="s">
        <v>209</v>
      </c>
    </row>
    <row r="7" spans="1:5" ht="43.5">
      <c r="A7" s="71">
        <v>1</v>
      </c>
      <c r="B7" s="27">
        <v>1</v>
      </c>
      <c r="C7" s="11" t="s">
        <v>11</v>
      </c>
      <c r="D7" s="119" t="s">
        <v>144</v>
      </c>
      <c r="E7" s="15" t="s">
        <v>143</v>
      </c>
    </row>
    <row r="8" spans="1:5" ht="43.5">
      <c r="A8" s="71">
        <f>A7+1</f>
        <v>2</v>
      </c>
      <c r="B8" s="10"/>
      <c r="C8" s="11" t="s">
        <v>15</v>
      </c>
      <c r="D8" s="119" t="s">
        <v>144</v>
      </c>
      <c r="E8" s="15" t="s">
        <v>143</v>
      </c>
    </row>
    <row r="9" spans="1:5" ht="43.5">
      <c r="A9" s="71">
        <f t="shared" ref="A9:A72" si="0">A8+1</f>
        <v>3</v>
      </c>
      <c r="B9" s="10"/>
      <c r="C9" s="11" t="s">
        <v>16</v>
      </c>
      <c r="D9" s="119" t="s">
        <v>144</v>
      </c>
      <c r="E9" s="15" t="s">
        <v>143</v>
      </c>
    </row>
    <row r="10" spans="1:5">
      <c r="A10" s="71">
        <f t="shared" si="0"/>
        <v>4</v>
      </c>
      <c r="B10" s="24"/>
      <c r="C10" s="11" t="s">
        <v>17</v>
      </c>
      <c r="D10" s="187">
        <v>2.2799999999999998</v>
      </c>
      <c r="E10" s="13" t="s">
        <v>241</v>
      </c>
    </row>
    <row r="11" spans="1:5">
      <c r="A11" s="71">
        <f t="shared" si="0"/>
        <v>5</v>
      </c>
      <c r="B11" s="27">
        <v>2</v>
      </c>
      <c r="C11" s="11" t="s">
        <v>19</v>
      </c>
      <c r="D11" s="118">
        <f>66910.09/365</f>
        <v>183.31531506849313</v>
      </c>
      <c r="E11" s="128">
        <f>D11*183</f>
        <v>33546.702657534246</v>
      </c>
    </row>
    <row r="12" spans="1:5">
      <c r="A12" s="71">
        <f t="shared" si="0"/>
        <v>6</v>
      </c>
      <c r="B12" s="10"/>
      <c r="C12" s="11" t="s">
        <v>20</v>
      </c>
      <c r="D12" s="118">
        <f>19585.5/153</f>
        <v>128.00980392156862</v>
      </c>
      <c r="E12" s="128">
        <f t="shared" ref="E12:E14" si="1">D12*183</f>
        <v>23425.794117647056</v>
      </c>
    </row>
    <row r="13" spans="1:5">
      <c r="A13" s="71">
        <f t="shared" si="0"/>
        <v>7</v>
      </c>
      <c r="B13" s="10"/>
      <c r="C13" s="11" t="s">
        <v>146</v>
      </c>
      <c r="D13" s="118">
        <f>81.82</f>
        <v>81.819999999999993</v>
      </c>
      <c r="E13" s="128">
        <f t="shared" si="1"/>
        <v>14973.06</v>
      </c>
    </row>
    <row r="14" spans="1:5">
      <c r="A14" s="71">
        <f t="shared" si="0"/>
        <v>8</v>
      </c>
      <c r="B14" s="24"/>
      <c r="C14" s="11" t="s">
        <v>23</v>
      </c>
      <c r="D14" s="129">
        <f>125</f>
        <v>125</v>
      </c>
      <c r="E14" s="128">
        <f t="shared" si="1"/>
        <v>22875</v>
      </c>
    </row>
    <row r="15" spans="1:5" ht="43.5">
      <c r="A15" s="71">
        <f t="shared" si="0"/>
        <v>9</v>
      </c>
      <c r="B15" s="27">
        <v>3</v>
      </c>
      <c r="C15" s="11" t="s">
        <v>24</v>
      </c>
      <c r="D15" s="119" t="s">
        <v>144</v>
      </c>
      <c r="E15" s="15" t="s">
        <v>143</v>
      </c>
    </row>
    <row r="16" spans="1:5">
      <c r="A16" s="71">
        <f t="shared" si="0"/>
        <v>10</v>
      </c>
      <c r="B16" s="10"/>
      <c r="C16" s="11" t="s">
        <v>26</v>
      </c>
      <c r="D16" s="118">
        <f>85/183</f>
        <v>0.46448087431693991</v>
      </c>
      <c r="E16" s="160">
        <f>D16*183</f>
        <v>85</v>
      </c>
    </row>
    <row r="17" spans="1:5" ht="43.5">
      <c r="A17" s="71">
        <f t="shared" si="0"/>
        <v>11</v>
      </c>
      <c r="B17" s="10"/>
      <c r="C17" s="11" t="s">
        <v>28</v>
      </c>
      <c r="D17" s="119" t="s">
        <v>144</v>
      </c>
      <c r="E17" s="15" t="s">
        <v>143</v>
      </c>
    </row>
    <row r="18" spans="1:5" ht="43.5">
      <c r="A18" s="71">
        <f t="shared" si="0"/>
        <v>12</v>
      </c>
      <c r="B18" s="24"/>
      <c r="C18" s="11" t="s">
        <v>29</v>
      </c>
      <c r="D18" s="119" t="s">
        <v>144</v>
      </c>
      <c r="E18" s="15" t="s">
        <v>143</v>
      </c>
    </row>
    <row r="19" spans="1:5">
      <c r="A19" s="71">
        <f t="shared" si="0"/>
        <v>13</v>
      </c>
      <c r="B19" s="27">
        <v>4</v>
      </c>
      <c r="C19" s="74" t="s">
        <v>30</v>
      </c>
      <c r="D19" s="188">
        <f>89786.35/365</f>
        <v>245.99</v>
      </c>
      <c r="E19" s="128">
        <f>D19*183</f>
        <v>45016.17</v>
      </c>
    </row>
    <row r="20" spans="1:5">
      <c r="A20" s="71">
        <f t="shared" si="0"/>
        <v>14</v>
      </c>
      <c r="B20" s="10"/>
      <c r="C20" s="74" t="s">
        <v>32</v>
      </c>
      <c r="D20" s="188">
        <f>48384.7285/365</f>
        <v>132.5609</v>
      </c>
      <c r="E20" s="128">
        <f t="shared" ref="E20:E26" si="2">D20*183</f>
        <v>24258.644700000001</v>
      </c>
    </row>
    <row r="21" spans="1:5">
      <c r="A21" s="71">
        <f t="shared" si="0"/>
        <v>15</v>
      </c>
      <c r="B21" s="10"/>
      <c r="C21" s="74" t="s">
        <v>34</v>
      </c>
      <c r="D21" s="188">
        <f>55247.64465/365</f>
        <v>151.36341000000002</v>
      </c>
      <c r="E21" s="128">
        <f t="shared" si="2"/>
        <v>27699.504030000004</v>
      </c>
    </row>
    <row r="22" spans="1:5">
      <c r="A22" s="71">
        <f t="shared" si="0"/>
        <v>16</v>
      </c>
      <c r="B22" s="10"/>
      <c r="C22" s="74" t="s">
        <v>36</v>
      </c>
      <c r="D22" s="188">
        <f>15245.1521/365</f>
        <v>41.767539999999997</v>
      </c>
      <c r="E22" s="128">
        <f t="shared" si="2"/>
        <v>7643.4598199999991</v>
      </c>
    </row>
    <row r="23" spans="1:5">
      <c r="A23" s="71">
        <f t="shared" si="0"/>
        <v>17</v>
      </c>
      <c r="B23" s="27">
        <v>5</v>
      </c>
      <c r="C23" s="11" t="s">
        <v>38</v>
      </c>
      <c r="D23" s="120">
        <f>56396.15/365</f>
        <v>154.51</v>
      </c>
      <c r="E23" s="128">
        <f t="shared" si="2"/>
        <v>28275.329999999998</v>
      </c>
    </row>
    <row r="24" spans="1:5" s="124" customFormat="1" ht="43.5">
      <c r="A24" s="186">
        <f>A23+1</f>
        <v>18</v>
      </c>
      <c r="B24" s="10"/>
      <c r="C24" s="11" t="s">
        <v>39</v>
      </c>
      <c r="D24" s="189" t="s">
        <v>251</v>
      </c>
      <c r="E24" s="190">
        <v>7.15</v>
      </c>
    </row>
    <row r="25" spans="1:5">
      <c r="A25" s="71">
        <f>A24+1</f>
        <v>19</v>
      </c>
      <c r="B25" s="10"/>
      <c r="C25" s="11" t="s">
        <v>40</v>
      </c>
      <c r="D25" s="120">
        <f>54987.25/365</f>
        <v>150.65</v>
      </c>
      <c r="E25" s="128">
        <f t="shared" si="2"/>
        <v>27568.95</v>
      </c>
    </row>
    <row r="26" spans="1:5">
      <c r="A26" s="71">
        <f t="shared" si="0"/>
        <v>20</v>
      </c>
      <c r="B26" s="24"/>
      <c r="C26" s="11" t="s">
        <v>43</v>
      </c>
      <c r="D26" s="120">
        <f>60743.3/365</f>
        <v>166.42000000000002</v>
      </c>
      <c r="E26" s="128">
        <f t="shared" si="2"/>
        <v>30454.860000000004</v>
      </c>
    </row>
    <row r="27" spans="1:5" ht="43.5">
      <c r="A27" s="71">
        <f t="shared" si="0"/>
        <v>21</v>
      </c>
      <c r="B27" s="27">
        <v>6</v>
      </c>
      <c r="C27" s="11" t="s">
        <v>155</v>
      </c>
      <c r="D27" s="119" t="s">
        <v>144</v>
      </c>
      <c r="E27" s="15" t="s">
        <v>143</v>
      </c>
    </row>
    <row r="28" spans="1:5" ht="43.5">
      <c r="A28" s="71">
        <f t="shared" si="0"/>
        <v>22</v>
      </c>
      <c r="B28" s="10"/>
      <c r="C28" s="11" t="s">
        <v>46</v>
      </c>
      <c r="D28" s="119" t="s">
        <v>144</v>
      </c>
      <c r="E28" s="15" t="s">
        <v>143</v>
      </c>
    </row>
    <row r="29" spans="1:5" ht="43.5">
      <c r="A29" s="71">
        <f t="shared" si="0"/>
        <v>23</v>
      </c>
      <c r="B29" s="10"/>
      <c r="C29" s="11" t="s">
        <v>47</v>
      </c>
      <c r="D29" s="119" t="s">
        <v>144</v>
      </c>
      <c r="E29" s="15" t="s">
        <v>143</v>
      </c>
    </row>
    <row r="30" spans="1:5" ht="43.5">
      <c r="A30" s="71">
        <f t="shared" si="0"/>
        <v>24</v>
      </c>
      <c r="B30" s="10"/>
      <c r="C30" s="11" t="s">
        <v>48</v>
      </c>
      <c r="D30" s="119" t="s">
        <v>144</v>
      </c>
      <c r="E30" s="15" t="s">
        <v>143</v>
      </c>
    </row>
    <row r="31" spans="1:5" ht="43.5">
      <c r="A31" s="71">
        <f t="shared" si="0"/>
        <v>25</v>
      </c>
      <c r="B31" s="10"/>
      <c r="C31" s="11" t="s">
        <v>50</v>
      </c>
      <c r="D31" s="119" t="s">
        <v>144</v>
      </c>
      <c r="E31" s="15" t="s">
        <v>143</v>
      </c>
    </row>
    <row r="32" spans="1:5" ht="43.5">
      <c r="A32" s="71">
        <f t="shared" si="0"/>
        <v>26</v>
      </c>
      <c r="B32" s="24"/>
      <c r="C32" s="11" t="s">
        <v>52</v>
      </c>
      <c r="D32" s="119" t="s">
        <v>144</v>
      </c>
      <c r="E32" s="15" t="s">
        <v>143</v>
      </c>
    </row>
    <row r="33" spans="1:5">
      <c r="A33" s="71">
        <f t="shared" si="0"/>
        <v>27</v>
      </c>
      <c r="B33" s="27">
        <v>7</v>
      </c>
      <c r="C33" s="11" t="s">
        <v>54</v>
      </c>
      <c r="D33" s="120">
        <v>68.61</v>
      </c>
      <c r="E33" s="128">
        <f>D33*183</f>
        <v>12555.63</v>
      </c>
    </row>
    <row r="34" spans="1:5">
      <c r="A34" s="71">
        <f t="shared" si="0"/>
        <v>28</v>
      </c>
      <c r="B34" s="10"/>
      <c r="C34" s="11" t="s">
        <v>56</v>
      </c>
      <c r="D34" s="188">
        <v>78.02</v>
      </c>
      <c r="E34" s="128">
        <f t="shared" ref="E34:E35" si="3">D34*183</f>
        <v>14277.66</v>
      </c>
    </row>
    <row r="35" spans="1:5">
      <c r="A35" s="71">
        <f t="shared" si="0"/>
        <v>29</v>
      </c>
      <c r="B35" s="10"/>
      <c r="C35" s="11" t="s">
        <v>57</v>
      </c>
      <c r="D35" s="120">
        <f>46355/365</f>
        <v>127</v>
      </c>
      <c r="E35" s="128">
        <f t="shared" si="3"/>
        <v>23241</v>
      </c>
    </row>
    <row r="36" spans="1:5">
      <c r="A36" s="71">
        <f t="shared" si="0"/>
        <v>30</v>
      </c>
      <c r="B36" s="10"/>
      <c r="C36" s="11" t="s">
        <v>59</v>
      </c>
      <c r="D36" s="118">
        <f>10.14/183</f>
        <v>5.5409836065573773E-2</v>
      </c>
      <c r="E36" s="12">
        <f>D36*183</f>
        <v>10.14</v>
      </c>
    </row>
    <row r="37" spans="1:5">
      <c r="A37" s="71">
        <f t="shared" si="0"/>
        <v>31</v>
      </c>
      <c r="B37" s="10"/>
      <c r="C37" s="11" t="s">
        <v>61</v>
      </c>
      <c r="D37" s="120">
        <f>18.79</f>
        <v>18.79</v>
      </c>
      <c r="E37" s="128">
        <f>D37*183</f>
        <v>3438.5699999999997</v>
      </c>
    </row>
    <row r="38" spans="1:5">
      <c r="A38" s="71">
        <f t="shared" si="0"/>
        <v>32</v>
      </c>
      <c r="B38" s="27">
        <v>8</v>
      </c>
      <c r="C38" s="11" t="s">
        <v>63</v>
      </c>
      <c r="D38" s="118">
        <f>65.7</f>
        <v>65.7</v>
      </c>
      <c r="E38" s="128">
        <f>D38*183</f>
        <v>12023.1</v>
      </c>
    </row>
    <row r="39" spans="1:5" ht="43.5">
      <c r="A39" s="71">
        <f>A38+1</f>
        <v>33</v>
      </c>
      <c r="B39" s="10"/>
      <c r="C39" s="11" t="s">
        <v>65</v>
      </c>
      <c r="D39" s="119" t="s">
        <v>144</v>
      </c>
      <c r="E39" s="15" t="s">
        <v>143</v>
      </c>
    </row>
    <row r="40" spans="1:5" ht="43.5">
      <c r="A40" s="71">
        <f t="shared" si="0"/>
        <v>34</v>
      </c>
      <c r="B40" s="10"/>
      <c r="C40" s="11" t="s">
        <v>161</v>
      </c>
      <c r="D40" s="119" t="s">
        <v>144</v>
      </c>
      <c r="E40" s="15" t="s">
        <v>143</v>
      </c>
    </row>
    <row r="41" spans="1:5" ht="43.5">
      <c r="A41" s="71">
        <f t="shared" si="0"/>
        <v>35</v>
      </c>
      <c r="B41" s="10"/>
      <c r="C41" s="11" t="s">
        <v>67</v>
      </c>
      <c r="D41" s="119" t="s">
        <v>144</v>
      </c>
      <c r="E41" s="15" t="s">
        <v>143</v>
      </c>
    </row>
    <row r="42" spans="1:5" ht="43.5">
      <c r="A42" s="71">
        <f t="shared" si="0"/>
        <v>36</v>
      </c>
      <c r="B42" s="24"/>
      <c r="C42" s="11" t="s">
        <v>68</v>
      </c>
      <c r="D42" s="119" t="s">
        <v>144</v>
      </c>
      <c r="E42" s="15" t="s">
        <v>143</v>
      </c>
    </row>
    <row r="43" spans="1:5">
      <c r="A43" s="71">
        <f t="shared" si="0"/>
        <v>37</v>
      </c>
      <c r="B43" s="27">
        <v>9</v>
      </c>
      <c r="C43" s="11" t="s">
        <v>69</v>
      </c>
      <c r="D43" s="35">
        <f>246553/(12*30)</f>
        <v>684.86944444444441</v>
      </c>
      <c r="E43" s="160">
        <f>D43*183</f>
        <v>125331.10833333332</v>
      </c>
    </row>
    <row r="44" spans="1:5" ht="43.5">
      <c r="A44" s="71">
        <f t="shared" si="0"/>
        <v>38</v>
      </c>
      <c r="B44" s="10"/>
      <c r="C44" s="11" t="s">
        <v>70</v>
      </c>
      <c r="D44" s="119" t="s">
        <v>144</v>
      </c>
      <c r="E44" s="15" t="s">
        <v>143</v>
      </c>
    </row>
    <row r="45" spans="1:5">
      <c r="A45" s="71">
        <f t="shared" si="0"/>
        <v>39</v>
      </c>
      <c r="B45" s="10"/>
      <c r="C45" s="11" t="s">
        <v>72</v>
      </c>
      <c r="D45" s="120">
        <f>70130.25/365</f>
        <v>192.1376712328767</v>
      </c>
      <c r="E45" s="160">
        <f t="shared" ref="E45:E49" si="4">D45*183</f>
        <v>35161.193835616439</v>
      </c>
    </row>
    <row r="46" spans="1:5">
      <c r="A46" s="71">
        <f t="shared" si="0"/>
        <v>40</v>
      </c>
      <c r="B46" s="10"/>
      <c r="C46" s="11" t="s">
        <v>74</v>
      </c>
      <c r="D46" s="118">
        <f>88782/(12*30)</f>
        <v>246.61666666666667</v>
      </c>
      <c r="E46" s="160">
        <f t="shared" si="4"/>
        <v>45130.85</v>
      </c>
    </row>
    <row r="47" spans="1:5">
      <c r="A47" s="71">
        <f t="shared" si="0"/>
        <v>41</v>
      </c>
      <c r="B47" s="10"/>
      <c r="C47" s="11" t="s">
        <v>76</v>
      </c>
      <c r="D47" s="118">
        <f>112289/(30*12)</f>
        <v>311.91388888888889</v>
      </c>
      <c r="E47" s="160">
        <f t="shared" si="4"/>
        <v>57080.241666666669</v>
      </c>
    </row>
    <row r="48" spans="1:5">
      <c r="A48" s="71">
        <f t="shared" si="0"/>
        <v>42</v>
      </c>
      <c r="B48" s="24"/>
      <c r="C48" s="11" t="s">
        <v>77</v>
      </c>
      <c r="D48" s="118">
        <v>30</v>
      </c>
      <c r="E48" s="160">
        <f t="shared" si="4"/>
        <v>5490</v>
      </c>
    </row>
    <row r="49" spans="1:5">
      <c r="A49" s="71">
        <f t="shared" si="0"/>
        <v>43</v>
      </c>
      <c r="B49" s="27">
        <v>10</v>
      </c>
      <c r="C49" s="11" t="s">
        <v>78</v>
      </c>
      <c r="D49" s="118">
        <v>92.7</v>
      </c>
      <c r="E49" s="160">
        <f t="shared" si="4"/>
        <v>16964.100000000002</v>
      </c>
    </row>
    <row r="50" spans="1:5">
      <c r="A50" s="71">
        <f t="shared" si="0"/>
        <v>44</v>
      </c>
      <c r="B50" s="10"/>
      <c r="C50" s="11" t="s">
        <v>80</v>
      </c>
      <c r="D50" s="118">
        <f>5854/153</f>
        <v>38.261437908496731</v>
      </c>
      <c r="E50" s="128">
        <f>D50*183</f>
        <v>7001.8431372549021</v>
      </c>
    </row>
    <row r="51" spans="1:5" ht="43.5">
      <c r="A51" s="71">
        <f>A50+1</f>
        <v>45</v>
      </c>
      <c r="B51" s="10"/>
      <c r="C51" s="11" t="s">
        <v>82</v>
      </c>
      <c r="D51" s="119" t="s">
        <v>144</v>
      </c>
      <c r="E51" s="15" t="s">
        <v>143</v>
      </c>
    </row>
    <row r="52" spans="1:5" ht="43.5">
      <c r="A52" s="71">
        <f t="shared" si="0"/>
        <v>46</v>
      </c>
      <c r="B52" s="10"/>
      <c r="C52" s="11" t="s">
        <v>84</v>
      </c>
      <c r="D52" s="119" t="s">
        <v>144</v>
      </c>
      <c r="E52" s="15" t="s">
        <v>143</v>
      </c>
    </row>
    <row r="53" spans="1:5">
      <c r="A53" s="71">
        <f t="shared" si="0"/>
        <v>47</v>
      </c>
      <c r="B53" s="10"/>
      <c r="C53" s="11" t="s">
        <v>86</v>
      </c>
      <c r="D53" s="118">
        <v>1.5</v>
      </c>
      <c r="E53" s="12">
        <f>D53*183</f>
        <v>274.5</v>
      </c>
    </row>
    <row r="54" spans="1:5" ht="43.5">
      <c r="A54" s="71">
        <f t="shared" si="0"/>
        <v>48</v>
      </c>
      <c r="B54" s="27">
        <v>11</v>
      </c>
      <c r="C54" s="11" t="s">
        <v>87</v>
      </c>
      <c r="D54" s="119" t="s">
        <v>144</v>
      </c>
      <c r="E54" s="15" t="s">
        <v>143</v>
      </c>
    </row>
    <row r="55" spans="1:5" ht="43.5">
      <c r="A55" s="71">
        <f t="shared" si="0"/>
        <v>49</v>
      </c>
      <c r="B55" s="10"/>
      <c r="C55" s="11" t="s">
        <v>89</v>
      </c>
      <c r="D55" s="119" t="s">
        <v>144</v>
      </c>
      <c r="E55" s="15" t="s">
        <v>143</v>
      </c>
    </row>
    <row r="56" spans="1:5" ht="43.5">
      <c r="A56" s="71">
        <f t="shared" si="0"/>
        <v>50</v>
      </c>
      <c r="B56" s="10"/>
      <c r="C56" s="11" t="s">
        <v>90</v>
      </c>
      <c r="D56" s="119" t="s">
        <v>144</v>
      </c>
      <c r="E56" s="15" t="s">
        <v>143</v>
      </c>
    </row>
    <row r="57" spans="1:5" ht="43.5">
      <c r="A57" s="71">
        <f t="shared" si="0"/>
        <v>51</v>
      </c>
      <c r="B57" s="10"/>
      <c r="C57" s="11" t="s">
        <v>91</v>
      </c>
      <c r="D57" s="119" t="s">
        <v>144</v>
      </c>
      <c r="E57" s="15" t="s">
        <v>143</v>
      </c>
    </row>
    <row r="58" spans="1:5">
      <c r="A58" s="71">
        <f t="shared" si="0"/>
        <v>52</v>
      </c>
      <c r="B58" s="27">
        <v>12</v>
      </c>
      <c r="C58" s="11" t="s">
        <v>92</v>
      </c>
      <c r="D58" s="120">
        <v>105.2</v>
      </c>
      <c r="E58" s="12">
        <f>D58*183</f>
        <v>19251.600000000002</v>
      </c>
    </row>
    <row r="59" spans="1:5">
      <c r="A59" s="71">
        <f>A58+1</f>
        <v>53</v>
      </c>
      <c r="B59" s="10"/>
      <c r="C59" s="11" t="s">
        <v>93</v>
      </c>
      <c r="D59" s="120">
        <v>13.77</v>
      </c>
      <c r="E59" s="12">
        <f t="shared" ref="E59:E62" si="5">D59*183</f>
        <v>2519.91</v>
      </c>
    </row>
    <row r="60" spans="1:5" s="124" customFormat="1">
      <c r="A60" s="71">
        <f>A59+1</f>
        <v>54</v>
      </c>
      <c r="B60" s="132"/>
      <c r="C60" s="11" t="s">
        <v>94</v>
      </c>
      <c r="D60" s="120">
        <v>24.35</v>
      </c>
      <c r="E60" s="12">
        <f t="shared" si="5"/>
        <v>4456.05</v>
      </c>
    </row>
    <row r="61" spans="1:5">
      <c r="A61" s="71">
        <f>A60+1</f>
        <v>55</v>
      </c>
      <c r="B61" s="10"/>
      <c r="C61" s="11" t="s">
        <v>95</v>
      </c>
      <c r="D61" s="120">
        <v>9.33</v>
      </c>
      <c r="E61" s="12">
        <f t="shared" si="5"/>
        <v>1707.39</v>
      </c>
    </row>
    <row r="62" spans="1:5">
      <c r="A62" s="71">
        <f>A61+1</f>
        <v>56</v>
      </c>
      <c r="B62" s="10"/>
      <c r="C62" s="11" t="s">
        <v>96</v>
      </c>
      <c r="D62" s="120">
        <v>37.32</v>
      </c>
      <c r="E62" s="12">
        <f t="shared" si="5"/>
        <v>6829.56</v>
      </c>
    </row>
    <row r="63" spans="1:5" ht="43.5">
      <c r="A63" s="71">
        <f t="shared" si="0"/>
        <v>57</v>
      </c>
      <c r="B63" s="27">
        <v>13</v>
      </c>
      <c r="C63" s="11" t="s">
        <v>97</v>
      </c>
      <c r="D63" s="119" t="s">
        <v>144</v>
      </c>
      <c r="E63" s="15" t="s">
        <v>143</v>
      </c>
    </row>
    <row r="64" spans="1:5">
      <c r="A64" s="71">
        <f t="shared" si="0"/>
        <v>58</v>
      </c>
      <c r="B64" s="10"/>
      <c r="C64" s="11" t="s">
        <v>99</v>
      </c>
      <c r="D64" s="118">
        <v>55.16</v>
      </c>
      <c r="E64" s="128">
        <f>D64*183</f>
        <v>10094.279999999999</v>
      </c>
    </row>
    <row r="65" spans="1:5">
      <c r="A65" s="71">
        <f t="shared" si="0"/>
        <v>59</v>
      </c>
      <c r="B65" s="10"/>
      <c r="C65" s="11" t="s">
        <v>101</v>
      </c>
      <c r="D65" s="118">
        <v>9.39</v>
      </c>
      <c r="E65" s="128">
        <f>D65*183</f>
        <v>1718.3700000000001</v>
      </c>
    </row>
    <row r="66" spans="1:5">
      <c r="A66" s="71">
        <f>A65+1</f>
        <v>60</v>
      </c>
      <c r="B66" s="10"/>
      <c r="C66" s="11" t="s">
        <v>103</v>
      </c>
      <c r="D66" s="118">
        <v>15.85</v>
      </c>
      <c r="E66" s="128">
        <f>D66*183</f>
        <v>2900.5499999999997</v>
      </c>
    </row>
    <row r="67" spans="1:5">
      <c r="A67" s="71">
        <f t="shared" si="0"/>
        <v>61</v>
      </c>
      <c r="B67" s="10"/>
      <c r="C67" s="11" t="s">
        <v>104</v>
      </c>
      <c r="D67" s="118">
        <v>4.96</v>
      </c>
      <c r="E67" s="12">
        <f>D67*183</f>
        <v>907.68</v>
      </c>
    </row>
    <row r="68" spans="1:5">
      <c r="A68" s="71">
        <f t="shared" si="0"/>
        <v>62</v>
      </c>
      <c r="B68" s="24"/>
      <c r="C68" s="11" t="s">
        <v>106</v>
      </c>
      <c r="D68" s="129">
        <v>12.65</v>
      </c>
      <c r="E68" s="128">
        <f>D68*183</f>
        <v>2314.9500000000003</v>
      </c>
    </row>
    <row r="69" spans="1:5" ht="43.5">
      <c r="A69" s="71">
        <f t="shared" si="0"/>
        <v>63</v>
      </c>
      <c r="B69" s="27">
        <v>14</v>
      </c>
      <c r="C69" s="11" t="s">
        <v>107</v>
      </c>
      <c r="D69" s="119" t="s">
        <v>144</v>
      </c>
      <c r="E69" s="15" t="s">
        <v>143</v>
      </c>
    </row>
    <row r="70" spans="1:5" ht="43.5">
      <c r="A70" s="71">
        <f t="shared" si="0"/>
        <v>64</v>
      </c>
      <c r="B70" s="10"/>
      <c r="C70" s="11" t="s">
        <v>109</v>
      </c>
      <c r="D70" s="119" t="s">
        <v>144</v>
      </c>
      <c r="E70" s="15" t="s">
        <v>143</v>
      </c>
    </row>
    <row r="71" spans="1:5" ht="43.5">
      <c r="A71" s="71">
        <f t="shared" si="0"/>
        <v>65</v>
      </c>
      <c r="B71" s="10"/>
      <c r="C71" s="11" t="s">
        <v>110</v>
      </c>
      <c r="D71" s="119" t="s">
        <v>144</v>
      </c>
      <c r="E71" s="15" t="s">
        <v>143</v>
      </c>
    </row>
    <row r="72" spans="1:5" ht="43.5">
      <c r="A72" s="71">
        <f t="shared" si="0"/>
        <v>66</v>
      </c>
      <c r="B72" s="24"/>
      <c r="C72" s="11" t="s">
        <v>111</v>
      </c>
      <c r="D72" s="119" t="s">
        <v>144</v>
      </c>
      <c r="E72" s="15" t="s">
        <v>143</v>
      </c>
    </row>
    <row r="73" spans="1:5">
      <c r="A73" s="71">
        <f t="shared" ref="A73:A82" si="6">A72+1</f>
        <v>67</v>
      </c>
      <c r="B73" s="27">
        <v>15</v>
      </c>
      <c r="C73" s="11" t="s">
        <v>113</v>
      </c>
      <c r="D73" s="120">
        <v>80.510000000000005</v>
      </c>
      <c r="E73" s="128">
        <f>D73*183</f>
        <v>14733.330000000002</v>
      </c>
    </row>
    <row r="74" spans="1:5">
      <c r="A74" s="71">
        <f t="shared" si="6"/>
        <v>68</v>
      </c>
      <c r="B74" s="10"/>
      <c r="C74" s="11" t="s">
        <v>114</v>
      </c>
      <c r="D74" s="120">
        <v>242.4</v>
      </c>
      <c r="E74" s="128">
        <f t="shared" ref="E74:E82" si="7">D74*183</f>
        <v>44359.200000000004</v>
      </c>
    </row>
    <row r="75" spans="1:5">
      <c r="A75" s="71">
        <f t="shared" si="6"/>
        <v>69</v>
      </c>
      <c r="B75" s="10"/>
      <c r="C75" s="11" t="s">
        <v>115</v>
      </c>
      <c r="D75" s="120">
        <v>87.67</v>
      </c>
      <c r="E75" s="128">
        <f t="shared" si="7"/>
        <v>16043.61</v>
      </c>
    </row>
    <row r="76" spans="1:5">
      <c r="A76" s="71">
        <f t="shared" si="6"/>
        <v>70</v>
      </c>
      <c r="B76" s="10"/>
      <c r="C76" s="11" t="s">
        <v>116</v>
      </c>
      <c r="D76" s="120">
        <v>138.22999999999999</v>
      </c>
      <c r="E76" s="128">
        <f t="shared" si="7"/>
        <v>25296.089999999997</v>
      </c>
    </row>
    <row r="77" spans="1:5">
      <c r="A77" s="71">
        <f t="shared" si="6"/>
        <v>71</v>
      </c>
      <c r="B77" s="10"/>
      <c r="C77" s="11" t="s">
        <v>117</v>
      </c>
      <c r="D77" s="175">
        <v>130.49</v>
      </c>
      <c r="E77" s="128">
        <f t="shared" si="7"/>
        <v>23879.670000000002</v>
      </c>
    </row>
    <row r="78" spans="1:5">
      <c r="A78" s="71">
        <f t="shared" si="6"/>
        <v>72</v>
      </c>
      <c r="B78" s="27">
        <v>16</v>
      </c>
      <c r="C78" s="11" t="s">
        <v>119</v>
      </c>
      <c r="D78" s="51">
        <f>626.53</f>
        <v>626.53</v>
      </c>
      <c r="E78" s="128">
        <f t="shared" si="7"/>
        <v>114654.98999999999</v>
      </c>
    </row>
    <row r="79" spans="1:5">
      <c r="A79" s="71">
        <f t="shared" si="6"/>
        <v>73</v>
      </c>
      <c r="B79" s="10"/>
      <c r="C79" s="11" t="s">
        <v>120</v>
      </c>
      <c r="D79" s="16">
        <f>269.75</f>
        <v>269.75</v>
      </c>
      <c r="E79" s="128">
        <f t="shared" si="7"/>
        <v>49364.25</v>
      </c>
    </row>
    <row r="80" spans="1:5">
      <c r="A80" s="71">
        <f t="shared" si="6"/>
        <v>74</v>
      </c>
      <c r="B80" s="10"/>
      <c r="C80" s="11" t="s">
        <v>122</v>
      </c>
      <c r="D80" s="51">
        <f>257.42</f>
        <v>257.42</v>
      </c>
      <c r="E80" s="128">
        <f t="shared" si="7"/>
        <v>47107.86</v>
      </c>
    </row>
    <row r="81" spans="1:6">
      <c r="A81" s="71">
        <f t="shared" si="6"/>
        <v>75</v>
      </c>
      <c r="B81" s="10"/>
      <c r="C81" s="11" t="s">
        <v>124</v>
      </c>
      <c r="D81" s="16">
        <f>207.35</f>
        <v>207.35</v>
      </c>
      <c r="E81" s="128">
        <f t="shared" si="7"/>
        <v>37945.049999999996</v>
      </c>
    </row>
    <row r="82" spans="1:6">
      <c r="A82" s="71">
        <f t="shared" si="6"/>
        <v>76</v>
      </c>
      <c r="B82" s="24"/>
      <c r="C82" s="11" t="s">
        <v>125</v>
      </c>
      <c r="D82" s="51">
        <f>182.75</f>
        <v>182.75</v>
      </c>
      <c r="E82" s="128">
        <f t="shared" si="7"/>
        <v>33443.25</v>
      </c>
    </row>
    <row r="83" spans="1:6">
      <c r="A83" s="46"/>
      <c r="B83" s="61"/>
      <c r="C83" s="55" t="s">
        <v>127</v>
      </c>
      <c r="D83" s="176">
        <f>SUM(D7:D82)</f>
        <v>6031.4059688418165</v>
      </c>
      <c r="E83" s="149">
        <f>D83*183</f>
        <v>1103747.2922980525</v>
      </c>
    </row>
    <row r="85" spans="1:6">
      <c r="A85" s="136" t="s">
        <v>200</v>
      </c>
      <c r="B85" s="137"/>
      <c r="D85" s="5"/>
      <c r="E85" s="8"/>
    </row>
    <row r="86" spans="1:6">
      <c r="B86" s="34" t="s">
        <v>204</v>
      </c>
      <c r="D86" s="5"/>
      <c r="E86" s="143">
        <f>'แบบฟอร์ม 2 (ขยะใหม่) ส่ง'!D84</f>
        <v>59015.419411437542</v>
      </c>
      <c r="F86" s="6" t="s">
        <v>205</v>
      </c>
    </row>
    <row r="87" spans="1:6">
      <c r="B87" s="34" t="s">
        <v>258</v>
      </c>
      <c r="D87" s="5"/>
      <c r="E87" s="143">
        <f>D83</f>
        <v>6031.4059688418165</v>
      </c>
      <c r="F87" s="6" t="s">
        <v>205</v>
      </c>
    </row>
    <row r="88" spans="1:6">
      <c r="B88" s="140" t="s">
        <v>213</v>
      </c>
      <c r="D88" s="5"/>
      <c r="E88" s="142">
        <f>E87/E86</f>
        <v>0.10220051012079893</v>
      </c>
    </row>
    <row r="89" spans="1:6">
      <c r="B89" s="140"/>
      <c r="D89" s="5"/>
      <c r="E89" s="142"/>
    </row>
    <row r="90" spans="1:6">
      <c r="B90" s="140"/>
      <c r="D90" s="5"/>
      <c r="E90" s="142"/>
    </row>
    <row r="91" spans="1:6">
      <c r="B91" s="140"/>
      <c r="D91" s="5"/>
      <c r="E91" s="142"/>
    </row>
    <row r="92" spans="1:6">
      <c r="B92" s="140"/>
      <c r="D92" s="5"/>
      <c r="E92" s="142"/>
    </row>
    <row r="93" spans="1:6">
      <c r="B93" s="140"/>
      <c r="D93" s="5"/>
      <c r="E93" s="142"/>
    </row>
    <row r="94" spans="1:6">
      <c r="B94" s="140"/>
      <c r="D94" s="5"/>
      <c r="E94" s="142"/>
    </row>
    <row r="95" spans="1:6">
      <c r="B95" s="140"/>
      <c r="D95" s="5"/>
      <c r="E95" s="142"/>
    </row>
    <row r="96" spans="1:6">
      <c r="B96" s="140"/>
      <c r="D96" s="5"/>
      <c r="E96" s="142"/>
    </row>
    <row r="97" spans="1:5">
      <c r="B97" s="140"/>
      <c r="D97" s="5"/>
      <c r="E97" s="142"/>
    </row>
    <row r="98" spans="1:5">
      <c r="B98" s="140"/>
      <c r="D98" s="5"/>
      <c r="E98" s="142"/>
    </row>
    <row r="99" spans="1:5">
      <c r="B99" s="140"/>
      <c r="D99" s="5"/>
      <c r="E99" s="142"/>
    </row>
    <row r="100" spans="1:5">
      <c r="B100" s="140"/>
      <c r="D100" s="5"/>
      <c r="E100" s="142"/>
    </row>
    <row r="101" spans="1:5">
      <c r="B101" s="140"/>
      <c r="D101" s="5"/>
      <c r="E101" s="142"/>
    </row>
    <row r="102" spans="1:5">
      <c r="B102" s="140"/>
      <c r="D102" s="5"/>
      <c r="E102" s="142"/>
    </row>
    <row r="103" spans="1:5" s="44" customFormat="1">
      <c r="A103" s="91"/>
      <c r="C103" s="92"/>
      <c r="D103" s="93"/>
      <c r="E103" s="94"/>
    </row>
    <row r="105" spans="1:5">
      <c r="A105" s="33" t="s">
        <v>128</v>
      </c>
    </row>
    <row r="106" spans="1:5">
      <c r="A106" s="125" t="s">
        <v>197</v>
      </c>
      <c r="B106" s="34" t="s">
        <v>198</v>
      </c>
      <c r="D106" s="8"/>
    </row>
    <row r="107" spans="1:5" s="34" customFormat="1">
      <c r="A107" s="34" t="s">
        <v>194</v>
      </c>
      <c r="D107" s="35"/>
      <c r="E107" s="35"/>
    </row>
    <row r="108" spans="1:5">
      <c r="B108" s="34" t="s">
        <v>174</v>
      </c>
      <c r="D108" s="38" t="s">
        <v>193</v>
      </c>
      <c r="E108" s="5"/>
    </row>
    <row r="109" spans="1:5">
      <c r="A109" s="5"/>
      <c r="B109" s="5" t="s">
        <v>175</v>
      </c>
      <c r="D109" s="123">
        <v>1.89E-3</v>
      </c>
      <c r="E109" s="5"/>
    </row>
    <row r="110" spans="1:5">
      <c r="A110" s="5"/>
      <c r="B110" s="5" t="s">
        <v>176</v>
      </c>
      <c r="D110" s="123">
        <v>1.15E-3</v>
      </c>
      <c r="E110" s="5"/>
    </row>
    <row r="111" spans="1:5">
      <c r="A111" s="5"/>
      <c r="B111" s="5" t="s">
        <v>177</v>
      </c>
      <c r="D111" s="123">
        <v>1.0200000000000001E-3</v>
      </c>
      <c r="E111" s="5"/>
    </row>
    <row r="112" spans="1:5">
      <c r="A112" s="5"/>
      <c r="B112" s="36" t="s">
        <v>178</v>
      </c>
      <c r="D112" s="123">
        <v>3.8999999999999998E-3</v>
      </c>
      <c r="E112" s="5"/>
    </row>
    <row r="113" spans="1:5">
      <c r="A113" s="5"/>
      <c r="B113" s="37" t="s">
        <v>179</v>
      </c>
      <c r="D113" s="123">
        <v>9.1E-4</v>
      </c>
      <c r="E113" s="5"/>
    </row>
    <row r="114" spans="1:5">
      <c r="A114" s="34" t="s">
        <v>183</v>
      </c>
      <c r="B114" s="5"/>
      <c r="C114" s="37"/>
    </row>
    <row r="115" spans="1:5">
      <c r="A115" s="5" t="s">
        <v>184</v>
      </c>
      <c r="B115" s="5"/>
      <c r="C115" s="37"/>
    </row>
    <row r="116" spans="1:5">
      <c r="A116" s="5" t="s">
        <v>185</v>
      </c>
      <c r="B116" s="5"/>
      <c r="C116" s="37"/>
    </row>
    <row r="117" spans="1:5">
      <c r="A117" s="5" t="s">
        <v>186</v>
      </c>
      <c r="B117" s="5"/>
      <c r="C117" s="37"/>
    </row>
    <row r="118" spans="1:5">
      <c r="A118" s="152" t="s">
        <v>132</v>
      </c>
    </row>
    <row r="119" spans="1:5">
      <c r="A119" s="152" t="s">
        <v>187</v>
      </c>
    </row>
    <row r="120" spans="1:5" s="34" customFormat="1">
      <c r="A120" s="38" t="s">
        <v>134</v>
      </c>
      <c r="B120" s="191" t="s">
        <v>188</v>
      </c>
      <c r="C120" s="39"/>
      <c r="D120" s="121"/>
      <c r="E120" s="127"/>
    </row>
    <row r="121" spans="1:5">
      <c r="B121" s="34" t="s">
        <v>182</v>
      </c>
    </row>
  </sheetData>
  <mergeCells count="1">
    <mergeCell ref="D5:E5"/>
  </mergeCells>
  <printOptions horizontalCentered="1"/>
  <pageMargins left="0.39370078740157483" right="0" top="0.39370078740157483" bottom="0.19685039370078741" header="0.31496062992125984" footer="0.31496062992125984"/>
  <pageSetup paperSize="9" scale="90"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แบบฟอร์ม 1 (ขยะสะสม) ส่ง</vt:lpstr>
      <vt:lpstr>แบบฟอร์ม 2 (ขยะใหม่) ส่ง</vt:lpstr>
      <vt:lpstr>แบบฟอร์ม 3 (Recycle) ส่ง</vt:lpstr>
      <vt:lpstr>'แบบฟอร์ม 1 (ขยะสะสม) ส่ง'!Print_Titles</vt:lpstr>
      <vt:lpstr>'แบบฟอร์ม 2 (ขยะใหม่) ส่ง'!Print_Titles</vt:lpstr>
      <vt:lpstr>'แบบฟอร์ม 3 (Recycle) ส่ง'!Print_Titles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pattaraporn.s</dc:creator>
  <cp:lastModifiedBy>pattaraporn.s</cp:lastModifiedBy>
  <cp:lastPrinted>2016-05-18T04:15:40Z</cp:lastPrinted>
  <dcterms:created xsi:type="dcterms:W3CDTF">2016-03-25T07:16:51Z</dcterms:created>
  <dcterms:modified xsi:type="dcterms:W3CDTF">2016-05-18T04:15:58Z</dcterms:modified>
</cp:coreProperties>
</file>