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240" yWindow="645" windowWidth="19575" windowHeight="7365"/>
  </bookViews>
  <sheets>
    <sheet name="แบบฟอร์ม 1 (ขยะสะสม) ส่ง" sheetId="2" r:id="rId1"/>
    <sheet name="แบบฟอร์ม 2 (ขยะใหม่) ส่ง" sheetId="3" r:id="rId2"/>
    <sheet name="แบบฟอร์ม 3 (Recycle) ส่ง" sheetId="4" r:id="rId3"/>
  </sheets>
  <definedNames>
    <definedName name="_GoBack" localSheetId="0">'แบบฟอร์ม 1 (ขยะสะสม) ส่ง'!#REF!</definedName>
    <definedName name="_xlnm.Print_Titles" localSheetId="0">'แบบฟอร์ม 1 (ขยะสะสม) ส่ง'!$1:$5</definedName>
    <definedName name="_xlnm.Print_Titles" localSheetId="1">'แบบฟอร์ม 2 (ขยะใหม่) ส่ง'!$1:$5</definedName>
    <definedName name="_xlnm.Print_Titles" localSheetId="2">'แบบฟอร์ม 3 (Recycle) ส่ง'!$1:$4</definedName>
  </definedNames>
  <calcPr calcId="125725"/>
</workbook>
</file>

<file path=xl/calcChain.xml><?xml version="1.0" encoding="utf-8"?>
<calcChain xmlns="http://schemas.openxmlformats.org/spreadsheetml/2006/main">
  <c r="G87" i="3"/>
  <c r="I87" s="1"/>
  <c r="G86"/>
  <c r="I86" s="1"/>
  <c r="G85"/>
  <c r="E31" i="4"/>
  <c r="E62"/>
  <c r="E63"/>
  <c r="E66"/>
  <c r="D80"/>
  <c r="E80" s="1"/>
  <c r="D79"/>
  <c r="E79" s="1"/>
  <c r="D78"/>
  <c r="E78" s="1"/>
  <c r="D77"/>
  <c r="E77" s="1"/>
  <c r="D76"/>
  <c r="E76" s="1"/>
  <c r="D75"/>
  <c r="E75" s="1"/>
  <c r="D74"/>
  <c r="E74" s="1"/>
  <c r="D73"/>
  <c r="E73" s="1"/>
  <c r="D72"/>
  <c r="E72" s="1"/>
  <c r="D71"/>
  <c r="E71" s="1"/>
  <c r="D48"/>
  <c r="E48" s="1"/>
  <c r="D43"/>
  <c r="E43" s="1"/>
  <c r="D36"/>
  <c r="E36" s="1"/>
  <c r="D35"/>
  <c r="E35" s="1"/>
  <c r="D33"/>
  <c r="E33" s="1"/>
  <c r="D32"/>
  <c r="E32" s="1"/>
  <c r="D24"/>
  <c r="E24" s="1"/>
  <c r="D23"/>
  <c r="E23" s="1"/>
  <c r="D22"/>
  <c r="E22" s="1"/>
  <c r="D21"/>
  <c r="E21" s="1"/>
  <c r="D20"/>
  <c r="E20" s="1"/>
  <c r="D19"/>
  <c r="E19" s="1"/>
  <c r="D18"/>
  <c r="E18" s="1"/>
  <c r="D17"/>
  <c r="E17" s="1"/>
  <c r="D12"/>
  <c r="E12" s="1"/>
  <c r="D11"/>
  <c r="E11" s="1"/>
  <c r="D10"/>
  <c r="E10" s="1"/>
  <c r="D9"/>
  <c r="D81" s="1"/>
  <c r="E81" s="1"/>
  <c r="E48" i="2"/>
  <c r="F48" s="1"/>
  <c r="D82" i="3"/>
  <c r="D83" s="1"/>
  <c r="D89" s="1"/>
  <c r="J18"/>
  <c r="K18" s="1"/>
  <c r="J19"/>
  <c r="K19" s="1"/>
  <c r="J20"/>
  <c r="K20" s="1"/>
  <c r="J21"/>
  <c r="K21" s="1"/>
  <c r="J32"/>
  <c r="K32" s="1"/>
  <c r="J34"/>
  <c r="K34" s="1"/>
  <c r="J35"/>
  <c r="K35" s="1"/>
  <c r="J36"/>
  <c r="K36" s="1"/>
  <c r="J63"/>
  <c r="K63" s="1"/>
  <c r="F18"/>
  <c r="F19"/>
  <c r="F20"/>
  <c r="F21"/>
  <c r="F32"/>
  <c r="F34"/>
  <c r="F35"/>
  <c r="F36"/>
  <c r="F63"/>
  <c r="E81"/>
  <c r="F81" s="1"/>
  <c r="E80"/>
  <c r="J80" s="1"/>
  <c r="K80" s="1"/>
  <c r="E79"/>
  <c r="F79" s="1"/>
  <c r="E78"/>
  <c r="J78" s="1"/>
  <c r="K78" s="1"/>
  <c r="E77"/>
  <c r="F77" s="1"/>
  <c r="E76"/>
  <c r="J76" s="1"/>
  <c r="K76" s="1"/>
  <c r="E75"/>
  <c r="F75" s="1"/>
  <c r="E74"/>
  <c r="J74" s="1"/>
  <c r="K74" s="1"/>
  <c r="E73"/>
  <c r="F73" s="1"/>
  <c r="E72"/>
  <c r="J72" s="1"/>
  <c r="K72" s="1"/>
  <c r="E67"/>
  <c r="F67" s="1"/>
  <c r="E64"/>
  <c r="J64" s="1"/>
  <c r="K64" s="1"/>
  <c r="E60"/>
  <c r="J60" s="1"/>
  <c r="K60" s="1"/>
  <c r="E49"/>
  <c r="F49" s="1"/>
  <c r="E44"/>
  <c r="J44" s="1"/>
  <c r="K44" s="1"/>
  <c r="E41"/>
  <c r="F41" s="1"/>
  <c r="E40"/>
  <c r="J40" s="1"/>
  <c r="K40" s="1"/>
  <c r="E39"/>
  <c r="F39" s="1"/>
  <c r="E38"/>
  <c r="J38" s="1"/>
  <c r="K38" s="1"/>
  <c r="E37"/>
  <c r="F37" s="1"/>
  <c r="E33"/>
  <c r="F33" s="1"/>
  <c r="E25"/>
  <c r="F25" s="1"/>
  <c r="E24"/>
  <c r="J24" s="1"/>
  <c r="K24" s="1"/>
  <c r="E23"/>
  <c r="F23" s="1"/>
  <c r="E22"/>
  <c r="J22" s="1"/>
  <c r="K22" s="1"/>
  <c r="E16"/>
  <c r="F16" s="1"/>
  <c r="E13"/>
  <c r="J13" s="1"/>
  <c r="K13" s="1"/>
  <c r="E12"/>
  <c r="F12" s="1"/>
  <c r="E11"/>
  <c r="J11" s="1"/>
  <c r="K11" s="1"/>
  <c r="E10"/>
  <c r="E82" s="1"/>
  <c r="F82" s="1"/>
  <c r="A6" i="4"/>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7" i="3"/>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D82" i="2"/>
  <c r="G85" s="1"/>
  <c r="J59"/>
  <c r="K59" s="1"/>
  <c r="J61"/>
  <c r="K61" s="1"/>
  <c r="J62"/>
  <c r="K62" s="1"/>
  <c r="J64"/>
  <c r="K64" s="1"/>
  <c r="J65"/>
  <c r="K65" s="1"/>
  <c r="J66"/>
  <c r="K66" s="1"/>
  <c r="J68"/>
  <c r="K68" s="1"/>
  <c r="J69"/>
  <c r="K69" s="1"/>
  <c r="J70"/>
  <c r="K70" s="1"/>
  <c r="J71"/>
  <c r="K71" s="1"/>
  <c r="J74"/>
  <c r="K74" s="1"/>
  <c r="J75"/>
  <c r="K75" s="1"/>
  <c r="J76"/>
  <c r="K76" s="1"/>
  <c r="J79"/>
  <c r="K79" s="1"/>
  <c r="J80"/>
  <c r="K80" s="1"/>
  <c r="J81"/>
  <c r="K81" s="1"/>
  <c r="J58"/>
  <c r="K58" s="1"/>
  <c r="J7"/>
  <c r="K7" s="1"/>
  <c r="J8"/>
  <c r="K8" s="1"/>
  <c r="J10"/>
  <c r="K10" s="1"/>
  <c r="J12"/>
  <c r="J14"/>
  <c r="K14" s="1"/>
  <c r="J15"/>
  <c r="K15" s="1"/>
  <c r="J16"/>
  <c r="K16" s="1"/>
  <c r="J17"/>
  <c r="K17" s="1"/>
  <c r="J18"/>
  <c r="K18" s="1"/>
  <c r="J19"/>
  <c r="K19" s="1"/>
  <c r="J20"/>
  <c r="K20" s="1"/>
  <c r="J21"/>
  <c r="K21" s="1"/>
  <c r="J24"/>
  <c r="K24" s="1"/>
  <c r="J25"/>
  <c r="K25" s="1"/>
  <c r="J26"/>
  <c r="J29"/>
  <c r="K29" s="1"/>
  <c r="J30"/>
  <c r="K30" s="1"/>
  <c r="J31"/>
  <c r="K31" s="1"/>
  <c r="J39"/>
  <c r="J41"/>
  <c r="K41" s="1"/>
  <c r="J45"/>
  <c r="K45" s="1"/>
  <c r="J46"/>
  <c r="K46" s="1"/>
  <c r="J47"/>
  <c r="K47" s="1"/>
  <c r="J50"/>
  <c r="K50" s="1"/>
  <c r="J51"/>
  <c r="K51" s="1"/>
  <c r="J52"/>
  <c r="K52" s="1"/>
  <c r="J53"/>
  <c r="K53" s="1"/>
  <c r="J54"/>
  <c r="K54" s="1"/>
  <c r="J55"/>
  <c r="K55" s="1"/>
  <c r="J56"/>
  <c r="K56" s="1"/>
  <c r="J6"/>
  <c r="K6" s="1"/>
  <c r="F7"/>
  <c r="F8"/>
  <c r="F10"/>
  <c r="F14"/>
  <c r="F15"/>
  <c r="F16"/>
  <c r="F17"/>
  <c r="F18"/>
  <c r="F19"/>
  <c r="F20"/>
  <c r="F21"/>
  <c r="F24"/>
  <c r="F25"/>
  <c r="F29"/>
  <c r="F30"/>
  <c r="F31"/>
  <c r="F41"/>
  <c r="F45"/>
  <c r="F46"/>
  <c r="F47"/>
  <c r="F50"/>
  <c r="F51"/>
  <c r="F52"/>
  <c r="F53"/>
  <c r="F54"/>
  <c r="F55"/>
  <c r="F56"/>
  <c r="F58"/>
  <c r="F59"/>
  <c r="F61"/>
  <c r="F62"/>
  <c r="F64"/>
  <c r="F65"/>
  <c r="F66"/>
  <c r="F68"/>
  <c r="F69"/>
  <c r="F70"/>
  <c r="F71"/>
  <c r="F74"/>
  <c r="F75"/>
  <c r="F76"/>
  <c r="F79"/>
  <c r="F80"/>
  <c r="F81"/>
  <c r="F6"/>
  <c r="E77"/>
  <c r="F77" s="1"/>
  <c r="E73"/>
  <c r="F73" s="1"/>
  <c r="E67"/>
  <c r="J67" s="1"/>
  <c r="K67" s="1"/>
  <c r="E63"/>
  <c r="J63" s="1"/>
  <c r="K63" s="1"/>
  <c r="E60"/>
  <c r="F60" s="1"/>
  <c r="E49"/>
  <c r="J49" s="1"/>
  <c r="K49" s="1"/>
  <c r="E44"/>
  <c r="J44" s="1"/>
  <c r="K44" s="1"/>
  <c r="E43"/>
  <c r="J43" s="1"/>
  <c r="K43" s="1"/>
  <c r="E40"/>
  <c r="J40" s="1"/>
  <c r="K40" s="1"/>
  <c r="E38"/>
  <c r="F38" s="1"/>
  <c r="E37"/>
  <c r="J37" s="1"/>
  <c r="K37" s="1"/>
  <c r="E36"/>
  <c r="F36" s="1"/>
  <c r="E35"/>
  <c r="J35" s="1"/>
  <c r="K35" s="1"/>
  <c r="E34"/>
  <c r="F34" s="1"/>
  <c r="E33"/>
  <c r="J33" s="1"/>
  <c r="K33" s="1"/>
  <c r="E32"/>
  <c r="F32" s="1"/>
  <c r="E28"/>
  <c r="F28" s="1"/>
  <c r="E27"/>
  <c r="J27" s="1"/>
  <c r="K27" s="1"/>
  <c r="E23"/>
  <c r="J23" s="1"/>
  <c r="K23" s="1"/>
  <c r="E22"/>
  <c r="J22" s="1"/>
  <c r="K22" s="1"/>
  <c r="E13"/>
  <c r="J13" s="1"/>
  <c r="K13" s="1"/>
  <c r="E11"/>
  <c r="J11" s="1"/>
  <c r="K11" s="1"/>
  <c r="E9"/>
  <c r="J9" s="1"/>
  <c r="K9" s="1"/>
  <c r="E42"/>
  <c r="J42" s="1"/>
  <c r="K42" s="1"/>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J48" l="1"/>
  <c r="K48" s="1"/>
  <c r="F42"/>
  <c r="F22"/>
  <c r="J38"/>
  <c r="K38" s="1"/>
  <c r="J34"/>
  <c r="K34" s="1"/>
  <c r="J73"/>
  <c r="K73" s="1"/>
  <c r="E9" i="4"/>
  <c r="F63" i="2"/>
  <c r="F27"/>
  <c r="F11"/>
  <c r="J36"/>
  <c r="K36" s="1"/>
  <c r="J32"/>
  <c r="K32" s="1"/>
  <c r="E83" i="3"/>
  <c r="E89" s="1"/>
  <c r="F10"/>
  <c r="F80"/>
  <c r="F78"/>
  <c r="F76"/>
  <c r="F74"/>
  <c r="F72"/>
  <c r="F64"/>
  <c r="F60"/>
  <c r="F44"/>
  <c r="F40"/>
  <c r="F38"/>
  <c r="F24"/>
  <c r="F22"/>
  <c r="F13"/>
  <c r="F11"/>
  <c r="J81"/>
  <c r="K81" s="1"/>
  <c r="J79"/>
  <c r="K79" s="1"/>
  <c r="J77"/>
  <c r="K77" s="1"/>
  <c r="J75"/>
  <c r="K75" s="1"/>
  <c r="J73"/>
  <c r="K73" s="1"/>
  <c r="J67"/>
  <c r="K67" s="1"/>
  <c r="J49"/>
  <c r="K49" s="1"/>
  <c r="J41"/>
  <c r="K41" s="1"/>
  <c r="J39"/>
  <c r="K39" s="1"/>
  <c r="J37"/>
  <c r="K37" s="1"/>
  <c r="J33"/>
  <c r="K33" s="1"/>
  <c r="J25"/>
  <c r="K25" s="1"/>
  <c r="J23"/>
  <c r="K23" s="1"/>
  <c r="J16"/>
  <c r="K16" s="1"/>
  <c r="J12"/>
  <c r="K12" s="1"/>
  <c r="J10"/>
  <c r="F67" i="2"/>
  <c r="F44"/>
  <c r="F40"/>
  <c r="F37"/>
  <c r="F35"/>
  <c r="F33"/>
  <c r="F9"/>
  <c r="J28"/>
  <c r="K28" s="1"/>
  <c r="J77"/>
  <c r="K77" s="1"/>
  <c r="J60"/>
  <c r="K60" s="1"/>
  <c r="E82"/>
  <c r="F49"/>
  <c r="F43"/>
  <c r="F23"/>
  <c r="F13"/>
  <c r="F82" l="1"/>
  <c r="G86"/>
  <c r="J82" i="3"/>
  <c r="K82" s="1"/>
  <c r="K10"/>
  <c r="F57" i="2"/>
  <c r="J57"/>
  <c r="K57" s="1"/>
  <c r="F78"/>
  <c r="J78"/>
  <c r="I86" l="1"/>
  <c r="K78"/>
  <c r="J82"/>
  <c r="K82" l="1"/>
  <c r="G87"/>
  <c r="I87" s="1"/>
</calcChain>
</file>

<file path=xl/comments1.xml><?xml version="1.0" encoding="utf-8"?>
<comments xmlns="http://schemas.openxmlformats.org/spreadsheetml/2006/main">
  <authors>
    <author>REO08</author>
    <author>REO16</author>
  </authors>
  <commentList>
    <comment ref="E38" authorId="0">
      <text>
        <r>
          <rPr>
            <sz val="9"/>
            <color indexed="81"/>
            <rFont val="Tahoma"/>
            <family val="2"/>
          </rPr>
          <t xml:space="preserve">(150 วัน)
ทม.กจ. 77.5
ท่าขนุน 10
เอราวัณ 3
กาญญไมนิ่ง 38.7
</t>
        </r>
      </text>
    </comment>
    <comment ref="E39" authorId="0">
      <text>
        <r>
          <rPr>
            <b/>
            <sz val="9"/>
            <color indexed="81"/>
            <rFont val="Tahoma"/>
            <family val="2"/>
          </rPr>
          <t>ทั้งจังหวัด x 150 วัน</t>
        </r>
        <r>
          <rPr>
            <sz val="9"/>
            <color indexed="81"/>
            <rFont val="Tahoma"/>
            <family val="2"/>
          </rPr>
          <t xml:space="preserve">
</t>
        </r>
      </text>
    </comment>
    <comment ref="E40" authorId="0">
      <text>
        <r>
          <rPr>
            <b/>
            <sz val="9"/>
            <color indexed="81"/>
            <rFont val="Tahoma"/>
            <family val="2"/>
          </rPr>
          <t>บ่อชะอำ x 150 วัน</t>
        </r>
        <r>
          <rPr>
            <sz val="9"/>
            <color indexed="81"/>
            <rFont val="Tahoma"/>
            <family val="2"/>
          </rPr>
          <t xml:space="preserve">
</t>
        </r>
      </text>
    </comment>
    <comment ref="E41" authorId="0">
      <text>
        <r>
          <rPr>
            <b/>
            <sz val="9"/>
            <color indexed="81"/>
            <rFont val="Tahoma"/>
            <family val="2"/>
          </rPr>
          <t>บ่อ ปราณบุรี + พงษ์ประศาสน์ x 150 วัน</t>
        </r>
        <r>
          <rPr>
            <sz val="9"/>
            <color indexed="81"/>
            <rFont val="Tahoma"/>
            <family val="2"/>
          </rPr>
          <t xml:space="preserve">
</t>
        </r>
      </text>
    </comment>
    <comment ref="E81" authorId="1">
      <text>
        <r>
          <rPr>
            <b/>
            <sz val="9"/>
            <color indexed="81"/>
            <rFont val="Tahoma"/>
            <family val="2"/>
          </rPr>
          <t xml:space="preserve">ขยะที่ได้รับการกำจัดถูกต้อง ที่ ทม.พัทลุง วันละ 35 ตัน ในระยะเวลา 5 เดือน
</t>
        </r>
      </text>
    </comment>
  </commentList>
</comments>
</file>

<file path=xl/comments2.xml><?xml version="1.0" encoding="utf-8"?>
<comments xmlns="http://schemas.openxmlformats.org/spreadsheetml/2006/main">
  <authors>
    <author>REO16</author>
  </authors>
  <commentList>
    <comment ref="D80" authorId="0">
      <text>
        <r>
          <rPr>
            <b/>
            <sz val="9"/>
            <color indexed="81"/>
            <rFont val="Tahoma"/>
            <family val="2"/>
          </rPr>
          <t>ขยะที่นำกลับมาใช้ประโยชน์วันละ 182.75 ตัน ในระยะเวลา 5 เดือน</t>
        </r>
      </text>
    </comment>
  </commentList>
</comments>
</file>

<file path=xl/sharedStrings.xml><?xml version="1.0" encoding="utf-8"?>
<sst xmlns="http://schemas.openxmlformats.org/spreadsheetml/2006/main" count="844" uniqueCount="248">
  <si>
    <t>แบบฟอร์มที่ 1 การกำจัดขยะมูลฝอยตกค้าง (ตัวชี้วัดที่ 4.1 ร้อยละของปริมาณขยะมูลฝอยได้รับการกำจัดอย่างถูกต้อง ตัวชี้วัด (1) ขยะมูลฝอยตกค้างสะสม)</t>
  </si>
  <si>
    <t>ที่</t>
  </si>
  <si>
    <t>สสภ.</t>
  </si>
  <si>
    <t>พื้นที่ดำเนินการ</t>
  </si>
  <si>
    <t xml:space="preserve">ปริมาณขยะมูลฝอยตกค้าง ปี 2558 (ตัน) </t>
  </si>
  <si>
    <t>กำจัดได้  (ตัน)</t>
  </si>
  <si>
    <t>%</t>
  </si>
  <si>
    <t>วิธีการจัดการ</t>
  </si>
  <si>
    <t>ดำเนินการโดย</t>
  </si>
  <si>
    <t>ที่เหลือ (ตัน)</t>
  </si>
  <si>
    <t>อปท.</t>
  </si>
  <si>
    <t>เอกชน</t>
  </si>
  <si>
    <t>เชียงใหม่</t>
  </si>
  <si>
    <t>Control Dump / Open Burn</t>
  </si>
  <si>
    <t>/</t>
  </si>
  <si>
    <t>-</t>
  </si>
  <si>
    <t>เชียงราย</t>
  </si>
  <si>
    <t>แม่ฮ่องสอน</t>
  </si>
  <si>
    <t>ลำพูน</t>
  </si>
  <si>
    <t xml:space="preserve"> /</t>
  </si>
  <si>
    <t>ลำปาง</t>
  </si>
  <si>
    <t>พะเยา</t>
  </si>
  <si>
    <t>ใช้ดินฝังกลบขยะชั่วคราว</t>
  </si>
  <si>
    <t>แพร่ *</t>
  </si>
  <si>
    <t>สุโขทัย</t>
  </si>
  <si>
    <t>พิษณุโลก</t>
  </si>
  <si>
    <t>ไถกลบ / Control Dump</t>
  </si>
  <si>
    <t>น่าน</t>
  </si>
  <si>
    <t>ไถกลบ</t>
  </si>
  <si>
    <t>พิจิตร</t>
  </si>
  <si>
    <t>อุตรดิตถ์</t>
  </si>
  <si>
    <t>นครสวรรค์</t>
  </si>
  <si>
    <t>ฝังกลบอย่างถูกหลัก 4 แห่ง ได้แก่ ทน.นครสวรรค์ ทม.ตาคลี ทม.ชุมแสง ทต.ท่าตะโก/ Control Dump &lt; 50 ตัน/วัน 3 แห่ง ทต.บางประมุง อบต.สระทะเล อบต.เขาทอง</t>
  </si>
  <si>
    <t>ตาก</t>
  </si>
  <si>
    <t>เผาในเตาเผา 1 แห่ง ที่ อบต.ช่องแคบ/  Control Dump &lt; 50 ตัน/วัน ที่ ทต.วังเจ้า/ปิดบ่อ  ที่ อบต.ด่านแม่ละเมา</t>
  </si>
  <si>
    <t>กำแพงเพชร</t>
  </si>
  <si>
    <t>ฝังกลบอย่างถูกหลัก 1 แห่ง ได้แก่ ทม.กำแพงเพชร /MBT 1 แห่ง ทต.ลานกระบือ/ Control Dump &lt; 50 ตัน/วัน 3 แห่ง ทต.ไทรงาม ทต.ขาณุฯ ทต.คลองขลุง ทต.คลองแม่ลาย ทต.ระหาน ทต.พรานกระต่าย ทต.คลองพิไกร/ คัดแยกทำ RDF ทต.สลกบาตร/ปิดบ่อ อบต.โค้งไผ่ ทต.คลองลานพัฒนา  อบต.ลานกระบือ อบต.โพธิ์ทอง</t>
  </si>
  <si>
    <t>อุทัยธานี</t>
  </si>
  <si>
    <t>ฝังกลบถูกหลัก 1 แห่ง ทม.อุทัยธานี /ฟื้นฟูสถานที่กำจัดขยะมูลฝอยไม่ถูกหลักวิชาการ 2 แห่ง ทต.ลานสัก ทต.เมืองการุ้ง</t>
  </si>
  <si>
    <t>นครปฐม</t>
  </si>
  <si>
    <t xml:space="preserve">1. ทน.นครปฐม ฝังกลบแบบควบคุม 190,000 ตัน และอยู่ระหว่างการจัดทำคำของบประมาณภายใต้แผนปฏิบัติการเพื่อการจัดการคุณภาพสิ่งแวลด้อมระดับจังหวัดปี 2561 เพื่อปรับปรุงสถานที่กำจัดขยะ 
2. ทต.บางเลน ปิดบ่อ และมีแนวทางขนย้ายขยะมูลฝอยตกค้างสะสม เพื่อนำไปกำจัด ที่ บ.ทีพีไอ โพลีน จำกัด (มหาชน) ประมาณ 2 ตัน/วัน ปัจจุบันยังไม่มีการขนย้าย) 
3. ทต.ลำพญา ปิดบ่อ 
4. อบต.สวนป่าน สั่งปิดบ่อขยะเอกชน (นายกระชิต ช่วยแสง)  
</t>
  </si>
  <si>
    <t>สุพรรณบุรี</t>
  </si>
  <si>
    <t>ชัยนาท</t>
  </si>
  <si>
    <t>1)  ฝังกลบแบบถูกหลักวิศวกรรม 1 แห่ง (ทต.หันคา) / 2) ฝังกลบแบบชั่วคราว ในพื้นที่ 1 แห่ง  (ทต.หางน้ำสาคร)</t>
  </si>
  <si>
    <t xml:space="preserve"> -</t>
  </si>
  <si>
    <t>สมุทรสาคร</t>
  </si>
  <si>
    <t>1) หจก.สมนึก ธุรกิจ ขุดรื้อขยะเก่า วันละ 200 ตัน/วัน มาทำการคัดแยกพลาสติกเพื่อส่งไปเผาทำลาย บ.ปูนซีเมนต์  (1 แห่ง (หจก.สมนึก)  2) ทน.สมุทรสาคร จัดการฝังกลบชั่วคราว (10,000 ตัน)</t>
  </si>
  <si>
    <t xml:space="preserve">/ </t>
  </si>
  <si>
    <t>นนทบุรี *</t>
  </si>
  <si>
    <t>สมุทรปราการ</t>
  </si>
  <si>
    <t>ปทุมธานี</t>
  </si>
  <si>
    <t>พระนครศรีอยุธยา</t>
  </si>
  <si>
    <t>1) ทน.พระนครศรีอยุธยาขนย้ายขยะไปฝังกลบถูกต้องวิชาการจำนวน 223,865 ตัน / 2) ทต.ท่าเรือ และทต.อุทัย จ้างเอกชนขนย้ายบางส่วน</t>
  </si>
  <si>
    <t>อ่างทอง</t>
  </si>
  <si>
    <t>1) เทศบาลเมืองอ่างทอง ได้ดำเนินการก่อสร้างโรงไฟฟ้าพลังงานขยะ ในปี 2560 และขยะตกค้างสะสม จำนวน 70,950 ตัน ได้มีการดำเนินการควบคุมกลบฝังแบบ Control dump / 2) ผู้ว่าราชการจังหวัดสั่งการให้ อปท. ในจังหวัด ตั้งงบประมาณของ อปท.  ปี 2559 เพื่อปิดบ่อ และนำขยะใหม่ไปกำจัดที่ ทม.อ่างทอง   ซึ่ง อปท. 11 แห่งต้องปิดบ่อขยะ ในวันที่ 1 ต.ค. 2558 ทั้งนี้ มี อปท.ฝังกลบบ่อขยะแล้ว 5 บ่อ ได้แก่ เทศบาลตำบลแสวงหา  จำนวน 480 ตัน ทต.ป่าโมก จำนวน 4,860 ตัน ,ทต.เกษไชโย จำนวน 607.50 ตัน  , ทต.รำมะสัก จำนวน 607.50 ตัน และอบต.โรงช้าง จำนวน 504 ตัน</t>
  </si>
  <si>
    <t>สิงห์บุรี</t>
  </si>
  <si>
    <t>ทม.สิงห์บุรี จ้างเอกชนร่อนขยะนำพลาสติกส่งโรงปูนซีเมนต์</t>
  </si>
  <si>
    <t>สระบุรี</t>
  </si>
  <si>
    <t>1)ให้เอกชนมาดำเนินการเก็บขนรวบรวมไปใช้ประโยชน์เป็นพลังงานในเตาเผาปูนชีเมนต์นครหลวง 
2) ฝังกลบเชิงวิศวกรรมโดย อปท.</t>
  </si>
  <si>
    <t>เพชรบูรณ์</t>
  </si>
  <si>
    <t>ลพบุรี</t>
  </si>
  <si>
    <t xml:space="preserve">1) ทม.ลพบุรี ว่าจ้าง บ.ภัทรคอนแอนด์เทค ใจการคัดแยกขยะมูลฝอยเพื่อทำเชื้อเพลิงทดแทน (RDF) (สิ้นสุดสัญญา 31. ม.ค.59) 
2) ทต.หนองม่วง , ทต.ลำนารายณ์ , ทต.โคกตูม , ทต.เขาพระยาเดินธง , ทต.เขาพระงาม , ทต.ดีลัง , อบต.ช่องสาริกา บ.เทอมัลเทค เข้ามาดำเนินการขนส่งขยะเพื่อนำไปกำจัด เป็นพลังงานทดแทนในอุตสาหกรรมปูนซีเมนต์ </t>
  </si>
  <si>
    <t>นครนายก</t>
  </si>
  <si>
    <t>1. อบต.พรหมรณี บริษัทเอกชนคัดแยกรับไปกำจัดนำไปเป็นเชื้อเพลิง 
2. ทต.บ้านนา ปิด/ไม่มีสภาพเป็นบ่อขยะ 
3. ทม.นครนายก ปิด</t>
  </si>
  <si>
    <t>ปราจีนบุรี</t>
  </si>
  <si>
    <t>1. ให้เอกชนมาดำเนินการเก็บขนรวบรวมไปใช้ประโยชน์เป็นพลังงานในเตาเผาปูนชีเมนต์นครหลวง (อบต.ท่าตูม) 
2. ฝังกลบปิดหน้าด้วยดิน</t>
  </si>
  <si>
    <t>ราชบุรี</t>
  </si>
  <si>
    <t>ฝังกลบเบื้องต้น</t>
  </si>
  <si>
    <t>กาญจนบุรี</t>
  </si>
  <si>
    <t>สมุทรสงคราม *</t>
  </si>
  <si>
    <t>เพชรบุรี</t>
  </si>
  <si>
    <t>ประจวบคีรีขันธ์</t>
  </si>
  <si>
    <t>อุดรธานี</t>
  </si>
  <si>
    <t>หนองคาย</t>
  </si>
  <si>
    <t xml:space="preserve">ดำเนินการกลบฝังขยะมูลฝอยเดิม </t>
  </si>
  <si>
    <t>เลย</t>
  </si>
  <si>
    <t>1) ดำเนินการปรับปรุงสถานที่กำจัดขยะมูลฝอยเดิมเป็นศูนย์จัดการขยะแบบผสมผสาน 1 แห่ง   
2) ฝังกลบ   
3) คัดแยกในพื้นที่กำจัดขยะ</t>
  </si>
  <si>
    <t>นครพนม</t>
  </si>
  <si>
    <t>ดำเนินการกลบฝังขยะมูลฝอยเดิม / นำไปกำจัดแบบเตาเผามีระบบบำบัดอากาศเสีย (ทต.ศรีสงคราม)</t>
  </si>
  <si>
    <t>สกลนคร</t>
  </si>
  <si>
    <t xml:space="preserve">1. ฝังกลบอย่างถูกหลักสุขาภิบาล (Sanitary Landfill) ได้แก่ ระบบกำจัดมูลฝอยเทศบาลนครสกลนคร เทศบาลตำบลพังโคนและเทศบาลตำบลท่าแร่
2. กำจัดขยะมูลฝอยแบบเทกองควบคุม (Controlled Dump) จำนวน 29 อปท.
</t>
  </si>
  <si>
    <t>บึงกาฬ</t>
  </si>
  <si>
    <t>1) ผู้ว่าราชการจังหวัดบึงกาฬสั่งการให้องค์กรปกครองส่วนท้องถิ่นทุกแห่งใช้เงินเสริมสภาพคล่องที่กระทรวงมหาดไทยส่งให้นำมาใช้ในการปรับปรุงสถานที่กำจัดขยะตามแบบการฝังกลบประยุกต์แก้ปัญหาทุก อปท. / 2) ดำเนินการกลบฝังขยะเดิม / 3) ประสานเพื่อดำเนินการนำขยะเข้าศูนย์รวบรวม / 4) ดำเนินการลดคัดแยกขยะที่ต้นทาง / 5) ดำเนินการปรับปรุงสถานที่กำจัดขยะเดิมเป็นศูนย์จัดการขยะถูกหลัก 1 แห่ง (อบต.บ้านต้อง)</t>
  </si>
  <si>
    <t>ขอนแก่น</t>
  </si>
  <si>
    <t xml:space="preserve">ดำเนินการฝังกลบแบบควบคุม control dump จำนวน 23 แห่ง </t>
  </si>
  <si>
    <t>มหาสารคาม</t>
  </si>
  <si>
    <t>1 ) control dump และฝังกลบชั่วคราว 19 แห่ง  2) ขนย้ายออกนอกพื้นที่ และนำส่งโรงปูน 1 แห่ง 3) นำไปทิ้งกับพื้นที่อื่นและปิดบ่อ 6 แห่ง 4) เตาเผาขนาดเล็กไม่เกิน 3 ตันต่อวัน 1 แห่ง</t>
  </si>
  <si>
    <t>กาฬสินธุ์</t>
  </si>
  <si>
    <t xml:space="preserve">control dump และฝังกลบชั่วคราว </t>
  </si>
  <si>
    <t>ชัยภูมิ</t>
  </si>
  <si>
    <t>control dump และฝังกลบ</t>
  </si>
  <si>
    <t>หนองบัวลำภู</t>
  </si>
  <si>
    <t>1) ฝังกลบอย่างถูกหลักสุขาภิบาล 1 แห่ง / 2) จ้างเหมาเอกชนขุดบ่อฝังกลบชั่วคราว 7 แห่ง</t>
  </si>
  <si>
    <t>นครราชสีมา</t>
  </si>
  <si>
    <t>ขุดหลุม ใช้ดินกลบ</t>
  </si>
  <si>
    <t>สุรินทร์</t>
  </si>
  <si>
    <t>บุรีรัมย์</t>
  </si>
  <si>
    <t>ศรีสะเกษ</t>
  </si>
  <si>
    <t>อุบลราชธานี</t>
  </si>
  <si>
    <t>1) ทต.นาแวง ฝังกลบแล้ว 2) ทต.นาโพธิ์กลาง ปิดบ่อขยะ 3) ทต.ท่าเมือง ปรับปรุงบ่อขยะ 4) อบต.ไหล่ทุ่ง ฝังกลบแล้ว 5) อบต.กุดยาลวน ฝังกลบแล้ว 6) อบต.คำหว้า ฝังกลบแล้ว 7) ทต.นาเยีย ปิดบ่อขยะแล้ว 8) อบต.ตาลสุม ปรับปรุงบ่อขยะ 9) อบต.นาโพธิ์ ฝังกลบแล้ว 10) ทต.นิคมสร้างตนเองลำโดมน้อย ปิดบ่อขยะแล้ว 11) อบต.ช่องเม็ก ปรับปรุงบ่อขยะแล้ว 12)ทต.นาส่วง  ปิดบ่อขยะนำส่งทม.วาริน</t>
  </si>
  <si>
    <t>อำนาจเจริญ</t>
  </si>
  <si>
    <t>1) ทต.หัวตะพาน และ ทต.รัตนวารีศรีเจริญ  ปิดบ่อ แล้วให้เอกชน ขนไปกำจัดที่ site อบจ.อำนาจเจริญ / 2) ทต.พระเหลา  ปิดบ่อ ดำเนินการคัดแยกจากต้นทาง แล้วจัดการฝังกลบ และใช้เตาเขนาดเล็กโดยไม่ตกค้าง</t>
  </si>
  <si>
    <t xml:space="preserve">1) ออกสำรวจข้อมูลการจัดการขยะมูลฝอยในพื้นที่ อปท. จำนวน 9 แห่ง ระหว่างวันที่ 18 - 19 กุมภาพันธ์ 2559 อยู่ระหว่างการรวบรวมข้อมูล  2) กำหนดแผนการสำรวจข้อมูลขยะมูลฝอยในพื้นที่ อปท. จำนวน 14 แห่ง ครั้งที่ 1 ระหว่างวันที่ 4 - 5 เมษายน 2559 3) กำหนดแผนการสำรวจข้อมูลขยะมูลฝอยในพื้นที่ อปท. จำนวน 15 แห่ง ครั้งที่ 2 ระหว่างวันที่ 18 - 20 เมษายน 2559  </t>
  </si>
  <si>
    <t>ยโสธร</t>
  </si>
  <si>
    <t>1) ทต.ค้อวัง ทต.กุดชุมพัฒนา ปิดบ่อเดิม ดำเนินการคัดแยกจากต้นทาง แล้วจัดการฝังกลบโดยไม่ตกค้าง / 2) ทต.ศรีแก้ว ดำเนินการคัดแยกจากต้นทาง แล้วทำการเผา โดยใช้เตาเขนาดเล็ก</t>
  </si>
  <si>
    <t>1) ออกสำรวจข้อมูลการจัดการขยะมูลฝอยในพื้นที่ อปท. จำนวน 17 แห่ง ครั้งที่ 1 ระหว่างวันที่ 9 - 12 เมษายน 2559 อยู่ระหว่างการรวบรวมข้อมูล  2) กำหนดแผนการสำรวจข้อมูลขยะมูลฝอยในพื้นที่ อปท. จำนวน 41 แห่ง ครั้งที่ 2 ระหว่างวันที่ 25 - 29 เมษายน 2559</t>
  </si>
  <si>
    <t>มุกดาหาร</t>
  </si>
  <si>
    <t>1) ทม.มุกดาหาร รื้อร่อนขยะเก่า 2) อปท. มีการคัดแยกขยะต้นทาง จำนวน 15 แห่ง</t>
  </si>
  <si>
    <t>ร้อยเอ็ด</t>
  </si>
  <si>
    <t xml:space="preserve">1) ทต.โพนทอง ดำเนินการคัดแยกจากต้นทาง แล้วจัดการฝังกลบโดยไม่ตกค้าง / 2) ทม.ร้อยเอ็ด ให้บริษัทเอกชน มาทำการคัดแยกขยะ แล้วนำไปทำเป็นเชื้อเพลิง RDF </t>
  </si>
  <si>
    <t>1) ออกสำรวจข้อมูลการจัดการขยะมูลฝอยในพื้นที่ อปท. จำนวน 9 แห่ง ในวันที่ 17 กุมภาพันธ์ 2559 อยู่ระหว่างการรวบรวมข้อมูล  2) กำหนดแผนการสำรวจข้อมูลขยะมูลฝอยในพื้นที่ อปท. จำนวน 14 แห่ง  ระหว่างวันที่ 31 มีนาคม - 1 เมษายน 2559</t>
  </si>
  <si>
    <t>ชลบุรี</t>
  </si>
  <si>
    <t>ฝังกลบและรื้อร่อนทำ RDF</t>
  </si>
  <si>
    <t>ระยอง</t>
  </si>
  <si>
    <t>ฝังกลบโดยใช้ดินกลบทับ</t>
  </si>
  <si>
    <t>ตราด</t>
  </si>
  <si>
    <t>เผา เกลี่ยกลบ และ ฝัง</t>
  </si>
  <si>
    <t>จันทบุรี</t>
  </si>
  <si>
    <t>ฉะเชิงเทรา</t>
  </si>
  <si>
    <t>นำไปคัดแยกและแปรรูปเป็นวัสดุทดแทนเชื้อเพลิง RDF วันละ 290 ตัน ดังนี้ 1) บ่อกำนันสตรีรัตน์ 120 ตัน/วัน นำส่ง SCG 2) บ่อกำนันเกรียงศักดิ์ 120 ตัน/วัน นำส่ง SCG 3) ทม.ฉะเชิงเทรา จ้างเหมา บ.เมืองสะอาด กำจัด 50 ตัน/วัน</t>
  </si>
  <si>
    <t>สระแก้ว</t>
  </si>
  <si>
    <t>สุราษฎร์ธานี</t>
  </si>
  <si>
    <t>1. กำจัดอย่างถูกต้อง 
2. ใช้ดินกลบทับ 
3. ปิดระบบ</t>
  </si>
  <si>
    <t>ชุมพร</t>
  </si>
  <si>
    <t>นครศรีธรรมราช</t>
  </si>
  <si>
    <t>ระนอง</t>
  </si>
  <si>
    <t>ใช้ดินกลบทับ</t>
  </si>
  <si>
    <t>ภูเก็ต</t>
  </si>
  <si>
    <t>ตรัง</t>
  </si>
  <si>
    <t>ทน.ตรัง มีการจัดการบ่อขยะทุกวัน คิดเป็นขยะสะสมที่กำจัดได้ 108,000 ตัน  และทม.กันตัง คิดเป็นขยะสะสมที่กำจัดได้ 96,000 ตัน  มีการกลบทับขยะรายวัน จึงไม่มีขยะสะสมตกค้าง  อบต.บางเป้า ปิดสถานที่กำจัด และขนส่งขยะไปใช้บริการของ ทม.กันตัง</t>
  </si>
  <si>
    <t>พังงา</t>
  </si>
  <si>
    <t>มีแผนกำหนดจ้างเหมาปิดกลบทับสถานที่กำจัดขยะมูลฝอยในเดือน มิ.ย.58 จำนวน 1 แห่ง ได้แก่ ทต.ลำแก่น โดยกำจัดขยะสะสมได้ ประมาณ 57,400 ตัน ทต.ท้ายเหมือง ปิดดินกลบทับ 21,446 ตัน</t>
  </si>
  <si>
    <t>สตูล</t>
  </si>
  <si>
    <t>อปท.มีการดำเนินการปิดกลบทับสถานที่กำจัดขยะมูลฝอยแล้ว จำนวน 1 แห่ง ได้แก่ ทต.ฉลุง โดยกำจัดขยะสะสมได้ 11,655 ตัน</t>
  </si>
  <si>
    <t>กระบี่</t>
  </si>
  <si>
    <t xml:space="preserve">1) ทม.ได้ทำ MOU ร่วมกับ บริษัทเอส ซี ไอ อีโค่ เซอร์วิสเซส จำกัด  ในโครงการการคัดแยกขยะมูลฝอยที่ผ่านการฝังกลบแล้วไปแปรรูปเป็นเชื้อเพลิง RDF เมื่อวันที่  5  พ.ย. 58 ความก้าวหน้าปัจจุบัน ปรับปรุงพื้นที่ตั้งเครื่องจักร ปรัปปรุงอาคารสำนักงาน รอติตั้งเครื่องจักร / 2) อปท.มีการดำเนินการปิดสถานที่กำจัดขยะมูลฝอยแล้ว จำนวน 4 แห่ง ดังนี้  เดือน เม.ย.58 อบต.พรุดินนา ปิดกลบทับบ่อขยะ โดยกำจัดขยะสะสมได้ 1,539 ตัน สิ้นปีงบประมาณ 57 อบต.บ้านกลาง และอบต.อ่าวลึกใต้ จ้างเหมาปิดกลบทับบ่อขยะ โดยกำจัดขยะสะสมได้ 2,265 ตัน และ 1,409 ตัน ตามลำดับ อบต.คลองขนาน ขนย้ายขยะเก่าไปถมที่ในบ่อดินร้างของเอกชน 3,056 ตัน อบต.ศาลาด่าน อยู่ระหว่าง ก่อสร้างสถานีขนถ่ายขยะ เพื่อมาส่งกำจัดที่ ทม. กระบี่ คาดว่าจะแล้วเสร็จ ปี 59 </t>
  </si>
  <si>
    <t>สงขลา</t>
  </si>
  <si>
    <t>นราธิวาส</t>
  </si>
  <si>
    <t>ฝังกลบชั่วคราว ด้วยการใช้ดินฝังกลบขยะภายในพื้นที่</t>
  </si>
  <si>
    <t>ยะลา</t>
  </si>
  <si>
    <t>1) ฝังกลบอย่างถูกหลักสุขาภิบาล 
2) ฝังกลบชั่วคราว ด้วยการใช้ดินฝังกลบขยะภายในพื้นที่</t>
  </si>
  <si>
    <t>ปัตตานี</t>
  </si>
  <si>
    <t>พัทลุง</t>
  </si>
  <si>
    <t>1) ฝังกลบชั่วคราว ด้วยการใช้ดินฝังกลบขยะภายในพื้นที่ 
2) ว่าจ้างเอกชนไปกำจัด</t>
  </si>
  <si>
    <t>รวมทั้งสิ้น</t>
  </si>
  <si>
    <t>หมายเหตุ :</t>
  </si>
  <si>
    <t xml:space="preserve">1. ขยะมูลฝอยตกค้าง หมายถึง ขยะมูลฝอยที่ถูกนำไปทิ้งในสถานที่กำจัดขยะมูลฝอยและไม่ได้รับการกำจัดอย่างถูกต้องตามหลักวิชาการ ทั้งนี้ไม่รวมขยะมูลฝอยที่ทิ้งหรือค้างตามพื้นที่ว่างทั่วไป ตั้งแต่อดีตจนถึงปี 2558 จำนวน 30.49 ล้านตัน </t>
  </si>
  <si>
    <t>2. ขยะมูลฝอยตกค้างได้รับการจัดการอย่างถูกต้อง หมายถึง ขยะมูลฝอยตกค้างถูกนำไปฝังกลบอย่างถูกต้อง หรือแปรรูปเป็นเชื้อเพลิง/พลังงานไฟฟ้า นำส่งเป็นวัตถุดิบให้โรงงานปูนซีเมนต์ หรือส่งไปเตาเผา</t>
  </si>
  <si>
    <t>การกำจัดขยะมูลฝอยอย่างถูกต้อง หมายถึง การกำจัดด้วยวิธีการอย่างหนึ่งอย่างใด ดังนี้</t>
  </si>
  <si>
    <t>- การกำจัดแบบยอมรับได้ (Appropriate Landfill) เช่น การฝังกลบแบบเทกองควบคุม (Control Dump) ขนาดน้อยกว่า 50 ตัน/วัน และเตาเผา ขนาดน้อยกว่า 10 ตัน/วัน ที่มีระบบกำจัดอากาศเสีย</t>
  </si>
  <si>
    <t xml:space="preserve">3. สูตรคำนวณ </t>
  </si>
  <si>
    <t>ร้อยละของปริมาณขยะมูลฝอยตกค้างได้รับการกำจัดอย่างถูกต้อง</t>
  </si>
  <si>
    <t xml:space="preserve">  =  </t>
  </si>
  <si>
    <t>ปริมาณขยะมูลฝอยตกค้างที่ได้รับการกำจัดอย่างถูกต้อง (ตัน) x 100</t>
  </si>
  <si>
    <t>ปริมาณขยะมูลฝอยตกค้าง ปี 2558 (ตัน)</t>
  </si>
  <si>
    <t>ผลการดำเนินการกำจัดขยะมูลฝอยตกค้าง (26 สิงหาคม 2557 - 29 กุมภาพันธ์ 2559)</t>
  </si>
  <si>
    <t>1) ปิดบ่อ 3 แห่ง (ทต.ไผ่กองดิน,อบต.ไผ่ขวาง,นายสมัคร จงสมจิตร)  
2)ทำ RDF (ทต.ศรีประจันต์) 
3) ฝังกลบชั่วคราวในพื้นที่ 4 แห่ง (ทต.บางปลาม้า,อบต.ดอนคา,ทต.ท่าเสด็จ,สจ.กิจจา วงศ์ประเสริฐ)</t>
  </si>
  <si>
    <t>ปิดบ่อขยะ 2 แห่งขยะกำจัดเทศบาลนครอุดรธานี แบบฝังกลบควบคุม 1 แห่ง และเทกองเผาไปจำนวนหนึ่ง</t>
  </si>
  <si>
    <t>1) อบต.แพรกษาใหม่ (บริษัท อีสเทิร์นเอนเนอจีพลัส จำกัด) ใช้ดินกลบทับกองขยะเก่าทั้งหมด 
2) อบต.บางปลา (บริษัท สมุทรปราการ รีนิวเอเบิ้ล เอเนอร์จี้จำกัด และ บริษัท อินทาเนีย กรีน พาวเว่อร์ จำกัด) อบต.แพรกษา (บริษัท เด่นชัยปากน้ำ จำกัด) ปรับปรุงแก้ไขเบื้องต้น</t>
  </si>
  <si>
    <t>1) บริษัทรักษ์บ้านเรา ทม.ท่าโขลง ร่อนขยะและใช้ดินกลบทับ 
2) ทม.สนั่นรักษ์ จ้างเอกชนขนย้าย 
3) อบต.พืชอุดม ได้สั่งปิดสถานที่กำจัดขยะของเอกชนแล้ว และเอกชนได้ดำเนินการปิดรับขยะและปรับปรุงพื้นที่ โดยหาดินมากลบทับขยะตกค้างเรียบร้อยแล้ว</t>
  </si>
  <si>
    <t>1) ให้เอกชนมาดำเนินการเก็บขนรวบรวมไปใช้ประโยชน์เป็นพลังงานในเตาเผาปูนชีเมนต์นครหลวง รวม 53,664.40+5,318.75 ตัน 
2) ฝังกลบปิดทับด้วยดิน รวม 12,668+4,000 ตัน</t>
  </si>
  <si>
    <t>ให้เอกชนมาดำเนินการเก็บขนรวบรวมไปกำจัด / ฝังกลบเบื้องต้น</t>
  </si>
  <si>
    <t>1) ทต.ดงหลวง และ ทต.ดอนตาล ทำการปิดบ่อ ดำเนินการคัดแยกจากต้นทาง แล้วจัดการฝังกลบโดยไม่ตกค้าง 
2) ทต.หว้านใหญ่ ทำการปิดบ่อแล้ว ขนไปกำจัดที่ site ทม.มุกดาหาร
3) ทม.มุกดาหาร รื้อร่อนขยะเก่า 
4) อปท. มีการคัดแยกขยะต้นทาง จำนวน 15 แห่ง</t>
  </si>
  <si>
    <t>1) ฝังกลบชั่วคราว ด้วยการใช้ดินฝังกลบขยะภายในพื้นที่ 
2) ขนย้ายไปกำจัดอย่างถูกต้องตามหลักวิชาการ (ในระบบฝังกลบ  และเตาเผาผลิตไฟฟ้า)
3) เอกชนรื้อร่อนนำไปทำเป็นเชื้อเพลิงแข็ง (Refuse Derived Fuel: RDF)</t>
  </si>
  <si>
    <t xml:space="preserve">- การกำจัดแบบถูกหลักวิชาการ เช่น การฝังกลบเชิงวิศวกรรม (Engineer Landfill) การฝังกลบอย่างถูกหลักสุขาภิบาล (Sanitary Landfill) เตาเผาที่มีระบบกำจัดมลพิษทางอากาศ การแปรรูปเพื่อผลิตพลังงาน (WTE) </t>
  </si>
  <si>
    <t>การหมักทำปุ๋ย (Compost) และการกำจัดแบบเชิงกล-ชีวภาพ (MBT)</t>
  </si>
  <si>
    <t>แบบฟอร์มที่ 2 การกำจัดขยะมูลฝอยที่เกิดขึ้นใน ปี 2559 (ตัวชี้วัดที่ 4.1 ร้อยละของปริมาณขยะมูลฝอยได้รับการกำจัดอย่างถูกต้อง ตัวชี้วัด (2) ขยะมูลฝอยที่เกิดขึ้นใน ปี 2559)</t>
  </si>
  <si>
    <t>N/A</t>
  </si>
  <si>
    <t>อยู่ระหว่างการดำเนินการสำรวจและประมวลผลข้อมูล</t>
  </si>
  <si>
    <t>ฝังกลบ/เตาเผา/เทกอง</t>
  </si>
  <si>
    <t>Sanitary Landfill ,Open Dump,</t>
  </si>
  <si>
    <t>แพร่</t>
  </si>
  <si>
    <t>ฝังกลบชั่วคราว, เตาเผา</t>
  </si>
  <si>
    <t>ฝังกลบอย่างถูกหลักสุขาภิบาล</t>
  </si>
  <si>
    <t xml:space="preserve">ระบบฝั่งกลบอย่างถูกสุขภิบาล (Sanitary Landfill)
แบบ Area method ของเทศบาลเมืองพิจิตร จำนวนขยะเข้าระบบ 25 ตันต่อวัน และของเทศบาลเมืองบางมูลนาก 17 ตันต่อวัน
</t>
  </si>
  <si>
    <t>เผาในเตาเผา 1 แห่ง ที่ อบต.ช่องแคบ/  Control Dump &lt; 50 ตัน/วัน ที่ ทต.วังเจ้า/ ปิดบ่อ  ที่ อบต.ด่านแม่ละเมา</t>
  </si>
  <si>
    <t>ฝังกลบอย่างถูกหลัก 1 แห่ง ได้แก่ ทม.อุทัยธานี Control Dump &lt; 50 ตัน/วัน 2 แห่ง ทต.ลานสัก ทต.เมืองการรุ้ง</t>
  </si>
  <si>
    <t>ฝังกลบอย่างถูกหลักสุขาภิบาล ณ บ. กลุ่ม 79 จก. อ.กำแพงแสน</t>
  </si>
  <si>
    <t xml:space="preserve">ฝังกลบถูกหลักสุขาภิบาล (Sanitary Landfill) (2)ทม.สุพรรณบุรี,ทม.สองพี่น้อง
และแบบผสมผสาน  (Integrated)(1) ทต.ศรีประจันต์
</t>
  </si>
  <si>
    <t>ฝังกลบอย่างถูกลักวิศวกรรม ณ ทต.หันคา</t>
  </si>
  <si>
    <t xml:space="preserve">คัดแยกและขนส่งไปกำจัด ณ อ.กำแพงแสน โดย บ.ฤธนารียูส </t>
  </si>
  <si>
    <t>นนทบุรี</t>
  </si>
  <si>
    <t>1) ระบบกำจัดขยะ RDF
2) ระบบฝังกลบ 
3) ระบบเทกอง 
4) ส่งไปกำจัดที่โรงปูน</t>
  </si>
  <si>
    <t>1) ให้เอกชนมาดำเนินการเก็บขนรวบรวมไปใช้ประโยชน์เป็นพลังงานเชื้อเพลิงในอุตสาหกรรมปูนซีเมนต์ (RDF) รวม 5318.75 ตัน 
2) กำจัดอย่างถูกต้อง (Sanitary landfill) (ทต.เพชรบูรณ์ , ทต.หนองไผ่ , ทต.ทตชนแดน) รวม 16,350</t>
  </si>
  <si>
    <t>1. กำจัดถูกหลักวิชาการ 47 ตัน/วัน 
2. กำจัดไม่ถูกหลักวิชาการ 384 ตัน/วัน</t>
  </si>
  <si>
    <t xml:space="preserve">1. ส่งเสริมการกำจัดในครัวเรือน 
2. ส่งไป บจก.ทีพีไอโพลีน แก่งคอย 
3. เทกองที่บ่อขยะ อบต.ทรายมูล 
4. เทกองที่ บ่อขยะ อบต.พรหมมณี 
5. ฝังกลบในพื้นที่หมู่ที่ 4 ตำบลองครักษ์ 
6. เทกอง บ่อขยะ อบต.นาหินลาด (เอกชน) 
7. ฝังกลบ/ทม.ปราจีนบุรี
</t>
  </si>
  <si>
    <t>1. กำจัดถูกต้อง 7 ตัน/วัน 
2. กำจัดไม่ถูกต้อง 305 ตัน/วัน</t>
  </si>
  <si>
    <t xml:space="preserve">1) อปท. ให้เอกชนดำเนินการเก็บขนรวบรวมไปกำจัด
2) ดำเนินการปรับปรุงสถานที่กำจัดขยะมูลฝอยเดิมเป็นฝังกลบแบบควบคุม Control Dump 
</t>
  </si>
  <si>
    <t>สมุทรสงคราม</t>
  </si>
  <si>
    <t>ฝังกลบเบื้องต้น, เตาเผา</t>
  </si>
  <si>
    <t>1) ออกสำรวจข้อมูลการจัดการขยะมูลฝอยในพื้นที่ อปท. จำนวน 34 แห่ง ระหว่างวันที่ 8 -11 มีนาคม 2559 อยู่ระหว่างการรวบรวมข้อมูล  2) กำหนดแผนการสำรวจข้อมูล ครั้งที่ 2 ระหว่างวันที่ 28 - 30 มีนาคม 2559 ในพื้นที่ อปท. จำนวน 22 แห่ง</t>
  </si>
  <si>
    <t>ฝังกลบแบบถูกหลักสุขาภิบาล ฝังกลบควบคุม และ MBT</t>
  </si>
  <si>
    <t>ระบบฝังกลบโดยเทศบาลเมืองตราด และระบบคัดแยกโดยเทศบาลตำบลเกาะช้าง และ อบต.เกาะกูด</t>
  </si>
  <si>
    <t xml:space="preserve"> อปท.19 แห่ง เก็บรวบรวม และขนส่งขยะมากำจัดที่ศูนย์กำจัดขยะมูลฝอยรวมจังหวัดภูเก็ต (โรงเตาเผาขยะ ขนาด 700 ตัน/วัน และฝังกลบขยะชิ้นใหญ่บางส่วน) ปริมาณขยะที่ถูกเก็บขนและกำจัดอย่างถูกต้อง เฉลี่ย 664 ตัน/วัน</t>
  </si>
  <si>
    <t xml:space="preserve">อปท. จำนวน 30 แห่ง เก็บขนขยะมูลฝอยและนำไปกำจัดในสถานที่กำจัดอย่างถูกต้อง โดยวิธีฝังกลบถูกหลักสุขาภิบาล 2 แห่ง ได้แก่ ทน.ตรัง และ ทม.กันตัง ซึ่งมีปริมาณขยะ เฉลี่ย 128.92 ตัน/วัน
</t>
  </si>
  <si>
    <t xml:space="preserve"> อปท. จำนวน 34 แห่ง เก็บขนขยะมูลฝอยและนำไปกำจัดในสถานที่กำจัดอย่างถูกต้อง โดยวิธีฝังกลบถูกหลักสุขาภิบาล 2 แห่ง ได้แก่ ทม.พังงา และ ทมตะกั่วป่า ซึ่งมีปริมาณขยะ เฉลี่ย 80.85 ตัน/วัน</t>
  </si>
  <si>
    <t xml:space="preserve"> อปท. จำนวน 17 แห่ง เก็บขนขยะมูลฝอยและนำไปกำจัดในสถานที่กำจัดอย่างถูกต้อง โดยวิธีฝังกลบถูกหลักสุขาภิบาล 2 แห่ง ได้แก่ ทม.สตูล และ ทต.กำพแพง ซึ่งมีปริมาณขยะ เฉลี่ย 78.03 ตัน/วัน
</t>
  </si>
  <si>
    <t xml:space="preserve"> อปท. จำนวน 16 แห่ง เก็บขนขยะมูลฝอยและนำไปกำจัดในสถานที่กำจัดอย่างถูกต้อง โดยวิธีฝังกลบถูกหลักสุขาภิบาล 1 แห่ง ได้แก่ ทม.กระบี่ ซึ่งมีปริมาณขยะ เฉลี่ย 147.75 ตัน/วัน
</t>
  </si>
  <si>
    <t xml:space="preserve">1)ฝังกลบอย่างถูกหลักสุขาภิบาล ณ ทน.สงขลา ทม.บ้านพรุ และ ทม.สะเดา
2) เผาด้วยเตาเผาที่มีระบบกำจัดมลพิษทางอากาศ ณ ทน.หาดใหญ่
</t>
  </si>
  <si>
    <t>ฝังกลบอย่างถูกหลักสุขาภิบาล ณ ทม.นราธิวาส และ ทม.สุไหงโก-ลก</t>
  </si>
  <si>
    <t>ฝังกลบอย่างถูกหลักสุขาภิบาล ณ ระบบกำจัดขยะมูลฝอย ทน.ยะลาและ ทม.เบตง</t>
  </si>
  <si>
    <t>ฝังกลบอย่างถูกหลักสุขาภิบาล ณ ทม.ปัตตานี</t>
  </si>
  <si>
    <t>ฝังกลบอย่างถูกหลักสุขาภิบาล ณ ทม.พัทลุง</t>
  </si>
  <si>
    <t>อัตราการเกิดขยะมูลฝอย</t>
  </si>
  <si>
    <t>เทศบาลนคร</t>
  </si>
  <si>
    <t>เทศบาลเมือง</t>
  </si>
  <si>
    <t>เทศบาลตำบล</t>
  </si>
  <si>
    <t>เมืองพัทยา</t>
  </si>
  <si>
    <t>อบต.</t>
  </si>
  <si>
    <t xml:space="preserve">2. สูตรคำนวณ </t>
  </si>
  <si>
    <t>ร้อยละของปริมาณขยะมูลฝอยที่เกิดขึ้นในปี 2559 ได้รับการกำจัดอย่างถูกต้อง</t>
  </si>
  <si>
    <t>ปริมาณขยะมูลฝอยที่เกิดขึ้นในปี 2559 (ตัน)</t>
  </si>
  <si>
    <t>แบบฟอร์มที่ 3 ปริมาณขยะมูลฝอยที่นำกลับไปใช้ประโยชน์ (ตัวชี้วัดที่ 4.2 ปริมาณขยะมูลฝอยที่นำกลับไปใช้ประโยชน์)</t>
  </si>
  <si>
    <t>1) ออกสำรวจข้อมูลการจัดการขยะมูลฝอยในพื้นที่ อปท. จำนวน 34 แห่ง ระหว่างวันที่ 8 -11 มีนาคม 2559 อยู่ระหว่างการรวบรวมข้อมูล  
2) กำหนดแผนการสำรวจข้อมูล ครั้งที่ 2 ระหว่างวันที่ 28 - 30 มีนาคม 2559 ในพื้นที่ อปท. จำนวน 22 แห่ง</t>
  </si>
  <si>
    <t>1) ออกสำรวจข้อมูลการจัดการขยะมูลฝอยในพื้นที่ อปท. จำนวน 9 แห่ง ในวันที่ 17 กุมภาพันธ์ 2559 อยู่ระหว่างการรวบรวมข้อมูล  
2) กำหนดแผนการสำรวจข้อมูลขยะมูลฝอยในพื้นที่ อปท. จำนวน 14 แห่ง  ระหว่างวันที่ 31 มีนาคม - 1 เมษายน 2559</t>
  </si>
  <si>
    <t>กำหนดออกสำรวจข้อมูลขยะมูลฝอยในพื้นที่  ระหว่างวันที่ 10-13 พฤษภาคม 2559 จำนวน 13 อปท.</t>
  </si>
  <si>
    <t xml:space="preserve">2. ปริมาณขยะมูลฝอยที่นำกลับมาใช้ประโยชน์ หมายถึง ปริมาณขยะมูลฝอยที่เกิดขึ้นทั่วประเทศในปี 2559 ได้ถูกนำกลับมาใช้ประโยชน์ </t>
  </si>
  <si>
    <t xml:space="preserve">ผ่านกิจกรรมต่างๆ เช่น ผ้าป่ารีไซเคิล การล่องเรือเก็บขยะ กิจกรรม Big Cleaning Day กิจกรรมทำปุ๋ยหมัก น้ำหมักชีวภาพ </t>
  </si>
  <si>
    <t xml:space="preserve">กิจกรรมร้านรับซื้อของเก่าสีเขียว กิจกรรมธนาคารขยะชุมชน ธนาคารขยะโรงเรียน ศูนย์รีไซเคิลชุมชน กิจกรรมขยะแลกไข่ ขยะแลกของ </t>
  </si>
  <si>
    <t>กิจกรรมตลาดนัดมือสอง การนำขยะมูลฝอยมาผลิตพลังงานไฟฟ้าและเชื้อเพลิงทดแทน เป็นต้น</t>
  </si>
  <si>
    <t>ร้อยละของปริมาณขยะมูลฝอยที่เกิดขึ้นในปี 2559 ได้รับการนำกลับมาใช้ประโยชน์ (ตัน)</t>
  </si>
  <si>
    <t xml:space="preserve">ปริมาณขยะมูลฝอยที่เกิดขึ้นในปี 2559 ได้รับการนำกลับมาใช้ประโยชน์ (ตัน) x 100 </t>
  </si>
  <si>
    <t>กำจัดถูกต้องได้  (ตัน/วัน)</t>
  </si>
  <si>
    <t>ผลการดำเนินการกำจัดขยะมูลฝอยที่เกิดขึ้นใน ปี 2559 แบบถูกต้อง (1 ตุลาคม 2558 - 29 กุมภาพันธ์ 2559)</t>
  </si>
  <si>
    <t>วิธีการจัดการแบบถูกต้อง</t>
  </si>
  <si>
    <t>ระบบฝังกลบตามหลักสุขาภิบาล / ระบบคัดแยก</t>
  </si>
  <si>
    <t xml:space="preserve">ปริมาณขยะมูลฝอยที่เกิดขึ้นในปี 2559 ได้รับการกำจัดอย่างถูกต้อง (ตัน/วัน) x 100 </t>
  </si>
  <si>
    <t>ปริมาณขยะมูลฝอยที่เกิดขึ้นในปี 2559 (ตัน/วัน)</t>
  </si>
  <si>
    <t>ตัน/คน/วัน</t>
  </si>
  <si>
    <t xml:space="preserve">1. ปริมาณขยะมูลฝอยที่เกิดขึ้นในปี พ.ศ. 2559 = อัตราการเกิดขยะมูลฝอย x จำนวนประชากรตามทะเบียนราษฎร์ </t>
  </si>
  <si>
    <t>ที่เหลือ 
(ตัน/วัน)</t>
  </si>
  <si>
    <t xml:space="preserve">1) ออกสำรวจข้อมูลการจัดการขยะมูลฝอยในพื้นที่ อปท. จำนวน 9 แห่ง ระหว่างวันที่ 18 - 19 กุมภาพันธ์ 2559 อยู่ระหว่างการรวบรวมข้อมูล
2) กำหนดแผนการสำรวจข้อมูลขยะมูลฝอยในพื้นที่ อปท. จำนวน 14 แห่ง ครั้งที่ 1 ระหว่างวันที่ 4 - 5 เมษายน 2559 
3) กำหนดแผนการสำรวจข้อมูลขยะมูลฝอยในพื้นที่ อปท. </t>
  </si>
  <si>
    <t xml:space="preserve">ปริมาณขยะมูลฝอยที่เกิดขึ้น ปี 2559 * (ตัน/วัน) </t>
  </si>
  <si>
    <t>*</t>
  </si>
  <si>
    <t>ข้อมูลประมาณการณ์ อาจมีการเปลี่ยนแปลงในภายหลัง</t>
  </si>
  <si>
    <t>ปริมาณขยะมูลฝอยที่นำกลับมาใช้ประโยชน์ * (ตัน/วัน)</t>
  </si>
  <si>
    <t>ปริมาณขยะมูลฝอยที่นำกลับมาใช้ประโยชน์ * (ตัน) 
คิดในช่วงระหว่าง 153 วัน</t>
  </si>
  <si>
    <t>ผลการดำเนินงาน (วันที่ 1 ตุลาคม 2558 - 29 กุมภาพันธ์ 2559)</t>
  </si>
  <si>
    <t>สรุป :</t>
  </si>
  <si>
    <t xml:space="preserve"> ตัน </t>
  </si>
  <si>
    <t>สามารถกำจัดไปได้แล้ว (ข้อมูล ณ วันที่ 29 กุมภาพันธ์ 2559)</t>
  </si>
  <si>
    <t>ปริมาณขยะมูลฝอยตกค้างทั่วประเทศ ปี 2558</t>
  </si>
  <si>
    <t xml:space="preserve">ปริมาณขยะมูลฝอยตกค้างที่เหลือ </t>
  </si>
  <si>
    <t>ปริมาณขยะมูลฝอยที่เกิดขึ้นทั่วประเทศ ปี 2559 (คาดการณ์)</t>
  </si>
  <si>
    <t>ตัน/วัน</t>
  </si>
  <si>
    <t>(ข้อมูล ณ วันที่ 29 กุมภาพันธ์ 2559)</t>
  </si>
  <si>
    <t>ได้รับการจัดการ (คาดการณ์)</t>
  </si>
  <si>
    <t>ยังไม่ได้รับการจัดการ (คาดการณ์)</t>
  </si>
</sst>
</file>

<file path=xl/styles.xml><?xml version="1.0" encoding="utf-8"?>
<styleSheet xmlns="http://schemas.openxmlformats.org/spreadsheetml/2006/main">
  <numFmts count="5">
    <numFmt numFmtId="43" formatCode="_-* #,##0.00_-;\-* #,##0.00_-;_-* &quot;-&quot;??_-;_-@_-"/>
    <numFmt numFmtId="187" formatCode="_(* #,##0.00_);_(* \(#,##0.00\);_(* &quot;-&quot;??_);_(@_)"/>
    <numFmt numFmtId="188" formatCode="#,##0.00_ ;\-#,##0.00\ "/>
    <numFmt numFmtId="189" formatCode="_-* #,##0.00000_-;\-* #,##0.00000_-;_-* &quot;-&quot;??_-;_-@_-"/>
    <numFmt numFmtId="190" formatCode="_-* #,##0_-;\-* #,##0_-;_-* &quot;-&quot;??_-;_-@_-"/>
  </numFmts>
  <fonts count="17">
    <font>
      <sz val="11"/>
      <color theme="1"/>
      <name val="Tahoma"/>
      <family val="2"/>
      <charset val="222"/>
      <scheme val="minor"/>
    </font>
    <font>
      <sz val="11"/>
      <color theme="1"/>
      <name val="Tahoma"/>
      <family val="2"/>
      <charset val="222"/>
      <scheme val="minor"/>
    </font>
    <font>
      <b/>
      <sz val="14"/>
      <name val="TH SarabunPSK"/>
      <family val="2"/>
    </font>
    <font>
      <sz val="14"/>
      <name val="TH SarabunPSK"/>
      <family val="2"/>
    </font>
    <font>
      <b/>
      <u/>
      <sz val="14"/>
      <name val="TH SarabunPSK"/>
      <family val="2"/>
    </font>
    <font>
      <sz val="14"/>
      <color rgb="FFFF0000"/>
      <name val="TH SarabunPSK"/>
      <family val="2"/>
    </font>
    <font>
      <sz val="14"/>
      <color rgb="FF7030A0"/>
      <name val="TH SarabunPSK"/>
      <family val="2"/>
    </font>
    <font>
      <sz val="14"/>
      <color theme="1"/>
      <name val="TH SarabunPSK"/>
      <family val="2"/>
    </font>
    <font>
      <u val="singleAccounting"/>
      <sz val="14"/>
      <name val="TH SarabunPSK"/>
      <family val="2"/>
    </font>
    <font>
      <b/>
      <sz val="9"/>
      <color indexed="81"/>
      <name val="Tahoma"/>
      <family val="2"/>
    </font>
    <font>
      <sz val="10"/>
      <name val="Arial"/>
      <family val="2"/>
    </font>
    <font>
      <b/>
      <sz val="12"/>
      <name val="TH SarabunPSK"/>
      <family val="2"/>
    </font>
    <font>
      <sz val="12"/>
      <name val="TH SarabunPSK"/>
      <family val="2"/>
    </font>
    <font>
      <u val="singleAccounting"/>
      <sz val="12"/>
      <name val="TH SarabunPSK"/>
      <family val="2"/>
    </font>
    <font>
      <sz val="9"/>
      <color indexed="81"/>
      <name val="Tahoma"/>
      <family val="2"/>
    </font>
    <font>
      <sz val="14"/>
      <color theme="0"/>
      <name val="TH SarabunPSK"/>
      <family val="2"/>
    </font>
    <font>
      <b/>
      <sz val="14"/>
      <color theme="1"/>
      <name val="TH SarabunPSK"/>
      <family val="2"/>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s>
  <borders count="13">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87" fontId="10" fillId="0" borderId="0" applyFont="0" applyFill="0" applyBorder="0" applyAlignment="0" applyProtection="0"/>
    <xf numFmtId="0" fontId="10" fillId="0" borderId="0"/>
  </cellStyleXfs>
  <cellXfs count="205">
    <xf numFmtId="0" fontId="0" fillId="0" borderId="0" xfId="0"/>
    <xf numFmtId="0" fontId="2" fillId="2" borderId="0" xfId="0" applyFont="1" applyFill="1" applyAlignment="1">
      <alignment horizontal="left" vertical="top"/>
    </xf>
    <xf numFmtId="0" fontId="3" fillId="2" borderId="0" xfId="0" applyFont="1" applyFill="1" applyAlignment="1">
      <alignment horizontal="center" vertical="top"/>
    </xf>
    <xf numFmtId="0" fontId="3" fillId="2" borderId="0" xfId="0" applyFont="1" applyFill="1" applyAlignment="1">
      <alignment vertical="top"/>
    </xf>
    <xf numFmtId="43" fontId="3" fillId="2" borderId="0" xfId="1" applyFont="1" applyFill="1" applyAlignment="1">
      <alignment vertical="top"/>
    </xf>
    <xf numFmtId="0" fontId="3" fillId="2" borderId="0" xfId="0" applyFont="1" applyFill="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0" xfId="1" applyNumberFormat="1" applyFont="1" applyAlignment="1">
      <alignment horizontal="center" vertical="top"/>
    </xf>
    <xf numFmtId="43" fontId="3" fillId="0" borderId="0" xfId="1" applyFont="1" applyAlignment="1">
      <alignment vertical="top"/>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vertical="top" wrapText="1"/>
    </xf>
    <xf numFmtId="43" fontId="3" fillId="0" borderId="4" xfId="1" applyFont="1" applyBorder="1" applyAlignment="1">
      <alignment horizontal="center" vertical="top" wrapText="1"/>
    </xf>
    <xf numFmtId="9" fontId="3" fillId="0" borderId="4" xfId="2" applyFont="1" applyBorder="1" applyAlignment="1">
      <alignment horizontal="center" vertical="top" wrapText="1"/>
    </xf>
    <xf numFmtId="0" fontId="3" fillId="0" borderId="4" xfId="0" applyFont="1" applyBorder="1" applyAlignment="1">
      <alignment horizontal="left" vertical="top" wrapText="1"/>
    </xf>
    <xf numFmtId="0" fontId="5" fillId="0" borderId="5" xfId="0" applyFont="1" applyFill="1" applyBorder="1" applyAlignment="1">
      <alignment vertical="top" wrapText="1"/>
    </xf>
    <xf numFmtId="0" fontId="5" fillId="0" borderId="3" xfId="0" applyFont="1" applyBorder="1" applyAlignment="1">
      <alignment horizontal="center" vertical="top" wrapText="1"/>
    </xf>
    <xf numFmtId="0" fontId="5" fillId="0" borderId="4" xfId="0" applyFont="1" applyBorder="1" applyAlignment="1">
      <alignment vertical="top" wrapText="1"/>
    </xf>
    <xf numFmtId="0" fontId="5" fillId="0" borderId="5" xfId="0" applyFont="1" applyBorder="1" applyAlignment="1">
      <alignment vertical="top" wrapText="1"/>
    </xf>
    <xf numFmtId="9" fontId="5" fillId="0" borderId="4" xfId="2" applyFont="1" applyBorder="1" applyAlignment="1">
      <alignment horizontal="center" vertical="top" wrapText="1"/>
    </xf>
    <xf numFmtId="0" fontId="5" fillId="0" borderId="7" xfId="0" applyFont="1" applyBorder="1" applyAlignment="1">
      <alignment horizontal="center" vertical="top" wrapText="1"/>
    </xf>
    <xf numFmtId="43" fontId="3" fillId="0" borderId="4" xfId="1" applyFont="1" applyFill="1" applyBorder="1" applyAlignment="1">
      <alignment horizontal="center" vertical="top" wrapText="1"/>
    </xf>
    <xf numFmtId="9" fontId="3" fillId="0" borderId="4" xfId="2" applyFont="1" applyFill="1" applyBorder="1" applyAlignment="1">
      <alignment horizontal="center" vertical="top"/>
    </xf>
    <xf numFmtId="0" fontId="3" fillId="0" borderId="4" xfId="0" applyFont="1" applyFill="1" applyBorder="1" applyAlignment="1">
      <alignment horizontal="left" vertical="top" wrapText="1"/>
    </xf>
    <xf numFmtId="0" fontId="3" fillId="0" borderId="4" xfId="0" applyFont="1" applyFill="1" applyBorder="1" applyAlignment="1">
      <alignment horizontal="center" vertical="top" wrapText="1"/>
    </xf>
    <xf numFmtId="9" fontId="3" fillId="0" borderId="4" xfId="2" applyFont="1" applyFill="1" applyBorder="1" applyAlignment="1">
      <alignment horizontal="center" vertical="top" wrapText="1"/>
    </xf>
    <xf numFmtId="43" fontId="3" fillId="0" borderId="7" xfId="1" applyFont="1" applyFill="1" applyBorder="1" applyAlignment="1">
      <alignment vertical="top" wrapText="1"/>
    </xf>
    <xf numFmtId="0" fontId="3" fillId="0" borderId="7" xfId="0" applyFont="1" applyFill="1" applyBorder="1" applyAlignment="1">
      <alignment horizontal="center" vertical="top" wrapText="1"/>
    </xf>
    <xf numFmtId="43" fontId="3" fillId="0" borderId="9" xfId="1" applyFont="1" applyBorder="1" applyAlignment="1">
      <alignment horizontal="center" vertical="top" wrapText="1"/>
    </xf>
    <xf numFmtId="0" fontId="3" fillId="0" borderId="9" xfId="0" applyFont="1" applyBorder="1" applyAlignment="1">
      <alignment horizontal="left" vertical="top" wrapText="1"/>
    </xf>
    <xf numFmtId="0" fontId="3" fillId="0" borderId="9" xfId="0" applyFont="1" applyBorder="1" applyAlignment="1">
      <alignment horizontal="center" vertical="top" wrapText="1"/>
    </xf>
    <xf numFmtId="0" fontId="3" fillId="0" borderId="6" xfId="0" applyFont="1" applyBorder="1" applyAlignment="1">
      <alignment vertical="top" wrapText="1"/>
    </xf>
    <xf numFmtId="9" fontId="3" fillId="0" borderId="9" xfId="2" applyFont="1" applyBorder="1" applyAlignment="1">
      <alignment horizontal="center" vertical="top" wrapText="1"/>
    </xf>
    <xf numFmtId="0" fontId="3" fillId="0" borderId="7" xfId="0" applyFont="1" applyBorder="1" applyAlignment="1">
      <alignment horizontal="center" vertical="top" wrapText="1"/>
    </xf>
    <xf numFmtId="43" fontId="3" fillId="0" borderId="7" xfId="1" applyFont="1" applyBorder="1" applyAlignment="1">
      <alignment horizontal="center" vertical="top" wrapText="1"/>
    </xf>
    <xf numFmtId="9" fontId="3" fillId="0" borderId="7" xfId="2" applyFont="1" applyBorder="1" applyAlignment="1">
      <alignment horizontal="center" vertical="top" wrapText="1"/>
    </xf>
    <xf numFmtId="0" fontId="3" fillId="0" borderId="9" xfId="0"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0" fontId="3" fillId="0" borderId="4" xfId="0" applyFont="1" applyFill="1" applyBorder="1" applyAlignment="1">
      <alignment vertical="top" wrapText="1"/>
    </xf>
    <xf numFmtId="0" fontId="2" fillId="0" borderId="0" xfId="0"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0" fontId="3" fillId="0" borderId="0" xfId="0" quotePrefix="1" applyNumberFormat="1" applyFont="1" applyAlignment="1">
      <alignment vertical="top"/>
    </xf>
    <xf numFmtId="0" fontId="3" fillId="0" borderId="0" xfId="0" quotePrefix="1" applyFont="1" applyAlignment="1">
      <alignment vertical="top"/>
    </xf>
    <xf numFmtId="0" fontId="7" fillId="0" borderId="0" xfId="0" applyFont="1" applyAlignment="1">
      <alignment horizontal="left"/>
    </xf>
    <xf numFmtId="43" fontId="3" fillId="0" borderId="0" xfId="1" applyFont="1" applyAlignment="1">
      <alignment horizontal="center" vertical="top"/>
    </xf>
    <xf numFmtId="0" fontId="3" fillId="0" borderId="10" xfId="0" applyFont="1" applyBorder="1" applyAlignment="1">
      <alignment horizontal="left" vertical="top"/>
    </xf>
    <xf numFmtId="0" fontId="8" fillId="0" borderId="10" xfId="0" applyFont="1" applyBorder="1" applyAlignment="1">
      <alignment horizontal="center" vertical="top"/>
    </xf>
    <xf numFmtId="43" fontId="8" fillId="0" borderId="10" xfId="1" applyFont="1" applyBorder="1" applyAlignment="1">
      <alignment vertical="top"/>
    </xf>
    <xf numFmtId="43" fontId="3" fillId="0" borderId="0" xfId="1" applyFont="1" applyFill="1" applyAlignment="1">
      <alignment vertical="top"/>
    </xf>
    <xf numFmtId="0" fontId="3" fillId="0" borderId="0" xfId="1" applyNumberFormat="1" applyFont="1" applyFill="1" applyAlignment="1">
      <alignment horizontal="center" vertical="top"/>
    </xf>
    <xf numFmtId="0" fontId="3" fillId="0" borderId="0" xfId="0" applyFont="1" applyFill="1" applyAlignment="1">
      <alignment vertical="top"/>
    </xf>
    <xf numFmtId="43" fontId="3" fillId="0" borderId="9" xfId="1" applyFont="1" applyFill="1" applyBorder="1" applyAlignment="1">
      <alignment horizontal="center" vertical="top" wrapText="1"/>
    </xf>
    <xf numFmtId="0" fontId="3" fillId="0" borderId="4" xfId="0" applyFont="1" applyBorder="1" applyAlignment="1">
      <alignment horizontal="center" vertical="top"/>
    </xf>
    <xf numFmtId="0" fontId="3" fillId="0" borderId="4" xfId="0" applyFont="1" applyBorder="1" applyAlignment="1">
      <alignment vertical="top" wrapText="1"/>
    </xf>
    <xf numFmtId="43" fontId="3" fillId="0" borderId="4" xfId="1" applyFont="1" applyFill="1" applyBorder="1" applyAlignment="1">
      <alignment vertical="top"/>
    </xf>
    <xf numFmtId="43" fontId="5" fillId="0" borderId="4" xfId="1" applyFont="1" applyBorder="1" applyAlignment="1">
      <alignment vertical="top" wrapText="1"/>
    </xf>
    <xf numFmtId="4" fontId="3" fillId="0" borderId="4" xfId="0" applyNumberFormat="1" applyFont="1" applyFill="1" applyBorder="1" applyAlignment="1">
      <alignment vertical="top"/>
    </xf>
    <xf numFmtId="43" fontId="3" fillId="0" borderId="4" xfId="1" applyFont="1" applyFill="1" applyBorder="1" applyAlignment="1">
      <alignment vertical="top" wrapText="1"/>
    </xf>
    <xf numFmtId="43" fontId="3" fillId="0" borderId="4" xfId="1" applyFont="1" applyBorder="1" applyAlignment="1">
      <alignment vertical="top" wrapText="1"/>
    </xf>
    <xf numFmtId="43" fontId="3" fillId="0" borderId="4" xfId="0" applyNumberFormat="1" applyFont="1" applyBorder="1" applyAlignment="1">
      <alignment vertical="top"/>
    </xf>
    <xf numFmtId="0" fontId="3" fillId="0" borderId="4" xfId="0" applyFont="1" applyFill="1" applyBorder="1" applyAlignment="1">
      <alignment horizontal="center" vertical="top"/>
    </xf>
    <xf numFmtId="0" fontId="3" fillId="0" borderId="4" xfId="0" quotePrefix="1" applyFont="1" applyFill="1" applyBorder="1" applyAlignment="1">
      <alignment horizontal="left" vertical="top" wrapText="1"/>
    </xf>
    <xf numFmtId="0" fontId="2" fillId="6" borderId="4" xfId="0" applyFont="1" applyFill="1" applyBorder="1" applyAlignment="1">
      <alignment horizontal="center" vertical="top"/>
    </xf>
    <xf numFmtId="43" fontId="2" fillId="5" borderId="4" xfId="1" applyFont="1" applyFill="1" applyBorder="1" applyAlignment="1">
      <alignment vertical="top"/>
    </xf>
    <xf numFmtId="43" fontId="2" fillId="3" borderId="4" xfId="1" applyFont="1" applyFill="1" applyBorder="1" applyAlignment="1">
      <alignment vertical="top"/>
    </xf>
    <xf numFmtId="9" fontId="3" fillId="3" borderId="4" xfId="2" applyFont="1" applyFill="1" applyBorder="1" applyAlignment="1">
      <alignment horizontal="center" vertical="top" wrapText="1"/>
    </xf>
    <xf numFmtId="9" fontId="3" fillId="0" borderId="4" xfId="2" applyFont="1" applyBorder="1" applyAlignment="1">
      <alignment vertical="top"/>
    </xf>
    <xf numFmtId="9" fontId="3" fillId="0" borderId="4" xfId="2" applyFont="1" applyBorder="1" applyAlignment="1">
      <alignment horizontal="center" vertical="top"/>
    </xf>
    <xf numFmtId="0" fontId="3" fillId="0" borderId="9" xfId="0" applyFont="1" applyBorder="1" applyAlignment="1">
      <alignment horizontal="center" vertical="top"/>
    </xf>
    <xf numFmtId="9" fontId="3" fillId="0" borderId="9" xfId="2"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vertical="top"/>
    </xf>
    <xf numFmtId="43" fontId="3" fillId="0" borderId="0" xfId="1" applyFont="1" applyBorder="1" applyAlignment="1">
      <alignment vertical="top"/>
    </xf>
    <xf numFmtId="0" fontId="2" fillId="3" borderId="4" xfId="0" applyFont="1" applyFill="1" applyBorder="1" applyAlignment="1">
      <alignment horizontal="center" vertical="top" wrapText="1"/>
    </xf>
    <xf numFmtId="43" fontId="2" fillId="7" borderId="4" xfId="1" applyFont="1" applyFill="1" applyBorder="1" applyAlignment="1">
      <alignment vertical="top"/>
    </xf>
    <xf numFmtId="9" fontId="3" fillId="7" borderId="4" xfId="2" applyFont="1" applyFill="1" applyBorder="1" applyAlignment="1">
      <alignment horizontal="center" vertical="top"/>
    </xf>
    <xf numFmtId="188" fontId="2" fillId="3" borderId="4" xfId="1" applyNumberFormat="1" applyFont="1" applyFill="1" applyBorder="1" applyAlignment="1">
      <alignment vertical="top"/>
    </xf>
    <xf numFmtId="0" fontId="3" fillId="0" borderId="1" xfId="0" applyFont="1" applyBorder="1" applyAlignment="1">
      <alignment horizontal="center" vertical="top"/>
    </xf>
    <xf numFmtId="0" fontId="3" fillId="0" borderId="11" xfId="0" applyFont="1" applyBorder="1" applyAlignment="1">
      <alignment horizontal="center" vertical="top"/>
    </xf>
    <xf numFmtId="0" fontId="3" fillId="0" borderId="2" xfId="0" applyFont="1" applyBorder="1" applyAlignment="1">
      <alignment vertical="top" wrapText="1"/>
    </xf>
    <xf numFmtId="0" fontId="5" fillId="0" borderId="11" xfId="0" applyFont="1" applyBorder="1" applyAlignment="1">
      <alignment horizontal="center" vertical="top"/>
    </xf>
    <xf numFmtId="0" fontId="3" fillId="0" borderId="11" xfId="0" applyFont="1" applyFill="1" applyBorder="1" applyAlignment="1">
      <alignment horizontal="center" vertical="top"/>
    </xf>
    <xf numFmtId="0" fontId="3" fillId="0" borderId="5" xfId="0" applyFont="1" applyFill="1" applyBorder="1" applyAlignment="1">
      <alignment vertical="top" wrapText="1"/>
    </xf>
    <xf numFmtId="0" fontId="3" fillId="0" borderId="3" xfId="0" applyFont="1" applyFill="1" applyBorder="1" applyAlignment="1">
      <alignment horizontal="center" vertical="top" wrapText="1"/>
    </xf>
    <xf numFmtId="0" fontId="11" fillId="0" borderId="0" xfId="0" applyFont="1" applyAlignment="1">
      <alignment horizontal="left" vertical="top"/>
    </xf>
    <xf numFmtId="0" fontId="12" fillId="0" borderId="0" xfId="0" applyFont="1" applyAlignment="1">
      <alignment horizontal="center" vertical="top"/>
    </xf>
    <xf numFmtId="0" fontId="12" fillId="0" borderId="0" xfId="0" applyFont="1" applyAlignment="1">
      <alignment vertical="top"/>
    </xf>
    <xf numFmtId="43" fontId="12" fillId="0" borderId="0" xfId="1" applyFont="1" applyAlignment="1">
      <alignment vertical="top"/>
    </xf>
    <xf numFmtId="43" fontId="12" fillId="0" borderId="0" xfId="1" applyFont="1" applyFill="1" applyAlignment="1">
      <alignment vertical="top"/>
    </xf>
    <xf numFmtId="0" fontId="12" fillId="0" borderId="0" xfId="0" applyFont="1" applyAlignment="1">
      <alignment horizontal="left" vertical="top"/>
    </xf>
    <xf numFmtId="43" fontId="12" fillId="0" borderId="0" xfId="1" applyFont="1" applyAlignment="1">
      <alignment horizontal="left" vertical="top"/>
    </xf>
    <xf numFmtId="43" fontId="12" fillId="0" borderId="0" xfId="1" applyFont="1" applyFill="1" applyAlignment="1">
      <alignment horizontal="left" vertical="top"/>
    </xf>
    <xf numFmtId="0" fontId="12" fillId="0" borderId="0" xfId="0" quotePrefix="1" applyNumberFormat="1" applyFont="1" applyAlignment="1">
      <alignment vertical="top"/>
    </xf>
    <xf numFmtId="0" fontId="12" fillId="0" borderId="0" xfId="0" quotePrefix="1" applyFont="1" applyAlignment="1">
      <alignment vertical="top"/>
    </xf>
    <xf numFmtId="43" fontId="12" fillId="0" borderId="0" xfId="1" applyFont="1" applyAlignment="1">
      <alignment horizontal="center" vertical="top"/>
    </xf>
    <xf numFmtId="0" fontId="12" fillId="0" borderId="10" xfId="0" applyFont="1" applyBorder="1" applyAlignment="1">
      <alignment horizontal="left" vertical="top"/>
    </xf>
    <xf numFmtId="0" fontId="13" fillId="0" borderId="0" xfId="0" applyFont="1" applyBorder="1" applyAlignment="1">
      <alignment horizontal="center" vertical="top"/>
    </xf>
    <xf numFmtId="43" fontId="13" fillId="0" borderId="0" xfId="1" applyFont="1" applyBorder="1" applyAlignment="1">
      <alignment vertical="top"/>
    </xf>
    <xf numFmtId="0" fontId="12" fillId="0" borderId="0" xfId="0" applyNumberFormat="1" applyFont="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horizontal="center" vertical="top"/>
    </xf>
    <xf numFmtId="43" fontId="2" fillId="0" borderId="0" xfId="1" applyFont="1" applyFill="1" applyBorder="1" applyAlignment="1">
      <alignment vertical="top"/>
    </xf>
    <xf numFmtId="188" fontId="2" fillId="0" borderId="0" xfId="1" applyNumberFormat="1" applyFont="1" applyFill="1" applyBorder="1" applyAlignment="1">
      <alignment vertical="top"/>
    </xf>
    <xf numFmtId="9" fontId="3" fillId="0" borderId="0" xfId="2" applyFont="1" applyFill="1" applyBorder="1" applyAlignment="1">
      <alignment horizontal="center" vertical="top" wrapText="1"/>
    </xf>
    <xf numFmtId="9" fontId="3" fillId="0" borderId="0" xfId="2" applyFont="1" applyFill="1" applyBorder="1" applyAlignment="1">
      <alignment horizontal="center" vertical="top"/>
    </xf>
    <xf numFmtId="0" fontId="2" fillId="3" borderId="0" xfId="0" applyFont="1" applyFill="1" applyAlignment="1">
      <alignment horizontal="left" vertical="top"/>
    </xf>
    <xf numFmtId="0" fontId="3" fillId="3" borderId="0" xfId="0" applyFont="1" applyFill="1" applyAlignment="1">
      <alignment horizontal="center" vertical="top"/>
    </xf>
    <xf numFmtId="0" fontId="3" fillId="3" borderId="0" xfId="0" applyFont="1" applyFill="1" applyAlignment="1">
      <alignment vertical="top"/>
    </xf>
    <xf numFmtId="43" fontId="3" fillId="3" borderId="0" xfId="1" applyFont="1" applyFill="1" applyAlignment="1">
      <alignment vertical="top"/>
    </xf>
    <xf numFmtId="0" fontId="2" fillId="7" borderId="4" xfId="0" applyFont="1" applyFill="1" applyBorder="1" applyAlignment="1">
      <alignment horizontal="center" vertical="top" wrapText="1"/>
    </xf>
    <xf numFmtId="9" fontId="3" fillId="0" borderId="0" xfId="2" applyFont="1" applyBorder="1" applyAlignment="1">
      <alignment horizontal="center" vertical="top" wrapText="1"/>
    </xf>
    <xf numFmtId="0" fontId="3" fillId="0" borderId="4" xfId="0" applyFont="1" applyBorder="1" applyAlignment="1"/>
    <xf numFmtId="43" fontId="3" fillId="0" borderId="4" xfId="1" applyFont="1" applyBorder="1" applyAlignment="1">
      <alignment vertical="top"/>
    </xf>
    <xf numFmtId="0" fontId="3" fillId="0" borderId="4" xfId="0" quotePrefix="1" applyFont="1" applyBorder="1" applyAlignment="1">
      <alignment horizontal="center" vertical="top" wrapText="1"/>
    </xf>
    <xf numFmtId="43" fontId="3" fillId="0" borderId="4" xfId="1" applyFont="1" applyFill="1" applyBorder="1" applyAlignment="1">
      <alignment horizontal="center" vertical="top"/>
    </xf>
    <xf numFmtId="0" fontId="3" fillId="0" borderId="8" xfId="0" applyFont="1" applyFill="1" applyBorder="1" applyAlignment="1">
      <alignment horizontal="left" vertical="top" wrapText="1"/>
    </xf>
    <xf numFmtId="43" fontId="3" fillId="0" borderId="4" xfId="1" applyFont="1" applyFill="1" applyBorder="1" applyAlignment="1">
      <alignment horizontal="right" vertical="top" wrapText="1"/>
    </xf>
    <xf numFmtId="43" fontId="3" fillId="0" borderId="4" xfId="1" applyFont="1" applyFill="1" applyBorder="1" applyAlignment="1">
      <alignment horizontal="right" vertical="top"/>
    </xf>
    <xf numFmtId="43" fontId="3" fillId="0" borderId="4" xfId="1" applyFont="1" applyBorder="1" applyAlignment="1">
      <alignment horizontal="right" vertical="top" wrapText="1"/>
    </xf>
    <xf numFmtId="43" fontId="3" fillId="0" borderId="4" xfId="1" applyFont="1" applyBorder="1" applyAlignment="1">
      <alignment horizontal="right"/>
    </xf>
    <xf numFmtId="43" fontId="3" fillId="0" borderId="4" xfId="1" applyFont="1" applyBorder="1"/>
    <xf numFmtId="0" fontId="3" fillId="0" borderId="4" xfId="0" applyFont="1" applyBorder="1" applyAlignment="1">
      <alignment horizontal="center"/>
    </xf>
    <xf numFmtId="0" fontId="3" fillId="0" borderId="4" xfId="0" quotePrefix="1" applyFont="1" applyBorder="1" applyAlignment="1">
      <alignment horizontal="center"/>
    </xf>
    <xf numFmtId="0" fontId="3" fillId="0" borderId="0" xfId="0" applyFont="1" applyAlignment="1">
      <alignment horizontal="left"/>
    </xf>
    <xf numFmtId="0" fontId="3" fillId="0" borderId="10" xfId="0" applyFont="1" applyBorder="1" applyAlignment="1">
      <alignment vertical="top"/>
    </xf>
    <xf numFmtId="0" fontId="2" fillId="7" borderId="0" xfId="0" applyFont="1" applyFill="1" applyAlignment="1">
      <alignment horizontal="left" vertical="top"/>
    </xf>
    <xf numFmtId="0" fontId="3" fillId="7" borderId="0" xfId="0" applyFont="1" applyFill="1" applyAlignment="1">
      <alignment horizontal="center" vertical="top"/>
    </xf>
    <xf numFmtId="0" fontId="3" fillId="7" borderId="0" xfId="0" applyFont="1" applyFill="1" applyAlignment="1">
      <alignment vertical="top"/>
    </xf>
    <xf numFmtId="43" fontId="3" fillId="7" borderId="0" xfId="1" applyFont="1" applyFill="1" applyAlignment="1">
      <alignment horizontal="left" vertical="top"/>
    </xf>
    <xf numFmtId="43" fontId="3" fillId="0" borderId="4" xfId="1" applyFont="1" applyBorder="1" applyAlignment="1">
      <alignment horizontal="left" vertical="top" wrapText="1"/>
    </xf>
    <xf numFmtId="43" fontId="5" fillId="0" borderId="4" xfId="1" applyFont="1" applyFill="1" applyBorder="1" applyAlignment="1">
      <alignment horizontal="left"/>
    </xf>
    <xf numFmtId="43" fontId="5" fillId="0" borderId="4" xfId="1" applyFont="1" applyFill="1" applyBorder="1" applyAlignment="1">
      <alignment horizontal="left" vertical="top" wrapText="1"/>
    </xf>
    <xf numFmtId="43" fontId="5" fillId="0" borderId="4" xfId="1" applyFont="1" applyBorder="1" applyAlignment="1">
      <alignment horizontal="left" vertical="top" wrapText="1"/>
    </xf>
    <xf numFmtId="43" fontId="6" fillId="0" borderId="4" xfId="1" applyFont="1" applyBorder="1" applyAlignment="1">
      <alignment horizontal="left" vertical="top" wrapText="1"/>
    </xf>
    <xf numFmtId="43" fontId="6" fillId="0" borderId="4" xfId="1" applyFont="1" applyBorder="1" applyAlignment="1">
      <alignment horizontal="left"/>
    </xf>
    <xf numFmtId="43" fontId="3" fillId="0" borderId="4" xfId="1" applyFont="1" applyFill="1" applyBorder="1" applyAlignment="1">
      <alignment horizontal="left" vertical="top" wrapText="1"/>
    </xf>
    <xf numFmtId="0" fontId="7" fillId="0" borderId="10" xfId="0" applyFont="1" applyBorder="1" applyAlignment="1">
      <alignment horizontal="left"/>
    </xf>
    <xf numFmtId="43" fontId="3" fillId="0" borderId="10" xfId="1" applyFont="1" applyBorder="1" applyAlignment="1">
      <alignment horizontal="left" vertical="top"/>
    </xf>
    <xf numFmtId="189" fontId="3" fillId="0" borderId="0" xfId="0" applyNumberFormat="1" applyFont="1" applyAlignment="1">
      <alignment vertical="top"/>
    </xf>
    <xf numFmtId="189" fontId="3" fillId="0" borderId="0" xfId="1" applyNumberFormat="1" applyFont="1" applyAlignment="1">
      <alignment horizontal="center" vertical="top"/>
    </xf>
    <xf numFmtId="0" fontId="3" fillId="0" borderId="7" xfId="0" applyFont="1" applyFill="1" applyBorder="1" applyAlignment="1">
      <alignment vertical="top" wrapText="1"/>
    </xf>
    <xf numFmtId="43" fontId="2" fillId="4" borderId="4" xfId="1" applyFont="1" applyFill="1" applyBorder="1" applyAlignment="1">
      <alignment vertical="top"/>
    </xf>
    <xf numFmtId="9" fontId="2" fillId="7" borderId="4" xfId="2" applyFont="1" applyFill="1" applyBorder="1" applyAlignment="1">
      <alignment horizontal="center" vertical="top"/>
    </xf>
    <xf numFmtId="43" fontId="2" fillId="2" borderId="4" xfId="1" applyFont="1" applyFill="1" applyBorder="1" applyAlignment="1">
      <alignment vertical="top"/>
    </xf>
    <xf numFmtId="9" fontId="3" fillId="2" borderId="4" xfId="2" applyFont="1" applyFill="1" applyBorder="1" applyAlignment="1">
      <alignment vertical="top"/>
    </xf>
    <xf numFmtId="0" fontId="3" fillId="0" borderId="0" xfId="0" applyFont="1" applyAlignment="1">
      <alignment vertical="top" wrapText="1"/>
    </xf>
    <xf numFmtId="0" fontId="2" fillId="0" borderId="0" xfId="0" applyFont="1" applyAlignment="1">
      <alignment horizontal="center" vertical="top"/>
    </xf>
    <xf numFmtId="190" fontId="3" fillId="0" borderId="0" xfId="1" applyNumberFormat="1" applyFont="1" applyAlignment="1">
      <alignment vertical="top"/>
    </xf>
    <xf numFmtId="190" fontId="3" fillId="0" borderId="0" xfId="1" applyNumberFormat="1" applyFont="1" applyAlignment="1">
      <alignment horizontal="left" vertical="top"/>
    </xf>
    <xf numFmtId="43" fontId="2" fillId="3" borderId="4" xfId="1" applyFont="1" applyFill="1" applyBorder="1" applyAlignment="1">
      <alignment horizontal="center" vertical="top" wrapText="1"/>
    </xf>
    <xf numFmtId="190" fontId="3" fillId="0" borderId="4" xfId="1" applyNumberFormat="1" applyFont="1" applyBorder="1" applyAlignment="1">
      <alignment vertical="top"/>
    </xf>
    <xf numFmtId="43" fontId="3" fillId="0" borderId="4" xfId="1" applyFont="1" applyBorder="1" applyAlignment="1">
      <alignment horizontal="left" vertical="top"/>
    </xf>
    <xf numFmtId="43" fontId="5" fillId="0" borderId="4" xfId="1" applyFont="1" applyFill="1" applyBorder="1" applyAlignment="1">
      <alignment horizontal="left" vertical="center" wrapText="1"/>
    </xf>
    <xf numFmtId="43" fontId="5" fillId="0" borderId="4" xfId="1" applyFont="1" applyFill="1" applyBorder="1" applyAlignment="1">
      <alignment horizontal="left" vertical="center"/>
    </xf>
    <xf numFmtId="43" fontId="2" fillId="3" borderId="4" xfId="1" applyFont="1" applyFill="1" applyBorder="1" applyAlignment="1">
      <alignment horizontal="left" vertical="top"/>
    </xf>
    <xf numFmtId="190" fontId="2" fillId="4" borderId="4" xfId="1" applyNumberFormat="1" applyFont="1" applyFill="1" applyBorder="1" applyAlignment="1">
      <alignment horizontal="center" vertical="top" wrapText="1"/>
    </xf>
    <xf numFmtId="190" fontId="3" fillId="7" borderId="0" xfId="1" applyNumberFormat="1" applyFont="1" applyFill="1" applyAlignment="1">
      <alignment vertical="top"/>
    </xf>
    <xf numFmtId="43" fontId="3" fillId="0" borderId="4" xfId="1" applyFont="1" applyFill="1" applyBorder="1" applyAlignment="1">
      <alignment horizontal="left" vertical="center" wrapText="1"/>
    </xf>
    <xf numFmtId="0" fontId="2" fillId="7" borderId="7" xfId="0" applyFont="1" applyFill="1" applyBorder="1" applyAlignment="1">
      <alignment horizontal="center" vertical="top" wrapText="1"/>
    </xf>
    <xf numFmtId="0" fontId="3" fillId="0" borderId="3" xfId="0" applyFont="1" applyBorder="1" applyAlignment="1">
      <alignment vertical="top" wrapText="1"/>
    </xf>
    <xf numFmtId="43" fontId="15" fillId="0" borderId="0" xfId="1" applyFont="1" applyAlignment="1">
      <alignment vertical="top"/>
    </xf>
    <xf numFmtId="9" fontId="3" fillId="0" borderId="4" xfId="2" applyFont="1" applyFill="1" applyBorder="1" applyAlignment="1">
      <alignment horizontal="left" vertical="top" wrapText="1"/>
    </xf>
    <xf numFmtId="0" fontId="12" fillId="0" borderId="0" xfId="0" applyFont="1" applyAlignment="1">
      <alignment horizontal="left"/>
    </xf>
    <xf numFmtId="0" fontId="16" fillId="0" borderId="0" xfId="0" applyFont="1" applyAlignment="1">
      <alignment horizontal="center"/>
    </xf>
    <xf numFmtId="0" fontId="16" fillId="0" borderId="0" xfId="0" applyFont="1" applyAlignment="1">
      <alignment horizontal="left"/>
    </xf>
    <xf numFmtId="9" fontId="3" fillId="0" borderId="0" xfId="2" applyFont="1" applyAlignment="1">
      <alignment horizontal="center" vertical="top"/>
    </xf>
    <xf numFmtId="9" fontId="3" fillId="0" borderId="0" xfId="0" applyNumberFormat="1" applyFont="1" applyAlignment="1">
      <alignment horizontal="center" vertical="top"/>
    </xf>
    <xf numFmtId="0" fontId="3" fillId="0" borderId="0" xfId="0" applyFont="1" applyFill="1" applyBorder="1" applyAlignment="1">
      <alignment horizontal="left" vertical="top"/>
    </xf>
    <xf numFmtId="43" fontId="3" fillId="0" borderId="0" xfId="0" applyNumberFormat="1" applyFont="1" applyAlignment="1">
      <alignment horizontal="center" vertical="top"/>
    </xf>
    <xf numFmtId="9" fontId="3" fillId="0" borderId="0" xfId="2" applyFont="1" applyAlignment="1">
      <alignment vertical="top"/>
    </xf>
    <xf numFmtId="43" fontId="3" fillId="0" borderId="0" xfId="0" applyNumberFormat="1" applyFont="1" applyAlignment="1">
      <alignment vertical="top"/>
    </xf>
    <xf numFmtId="17" fontId="3" fillId="0" borderId="0" xfId="1" applyNumberFormat="1" applyFont="1" applyAlignment="1">
      <alignment vertical="top"/>
    </xf>
    <xf numFmtId="0" fontId="4" fillId="0" borderId="0" xfId="0" applyFont="1" applyAlignment="1">
      <alignment horizontal="right" vertical="top"/>
    </xf>
    <xf numFmtId="0" fontId="2" fillId="2" borderId="4" xfId="0" applyFont="1" applyFill="1" applyBorder="1" applyAlignment="1">
      <alignment horizontal="center" vertical="top"/>
    </xf>
    <xf numFmtId="0" fontId="2" fillId="2" borderId="4" xfId="0" applyFont="1" applyFill="1" applyBorder="1" applyAlignment="1">
      <alignment horizontal="center" vertical="top" wrapText="1"/>
    </xf>
    <xf numFmtId="0" fontId="2" fillId="2" borderId="7" xfId="0" applyFont="1" applyFill="1" applyBorder="1" applyAlignment="1">
      <alignment horizontal="center" vertical="top" wrapText="1"/>
    </xf>
    <xf numFmtId="43" fontId="2" fillId="5" borderId="4" xfId="1" applyFont="1" applyFill="1" applyBorder="1" applyAlignment="1">
      <alignment horizontal="center" vertical="top" wrapText="1"/>
    </xf>
    <xf numFmtId="43" fontId="2" fillId="3" borderId="4" xfId="1" applyFont="1" applyFill="1" applyBorder="1" applyAlignment="1">
      <alignment horizontal="center" vertical="top"/>
    </xf>
    <xf numFmtId="43" fontId="2" fillId="3" borderId="4" xfId="1" applyFont="1" applyFill="1" applyBorder="1" applyAlignment="1">
      <alignment horizontal="center" vertical="top" wrapText="1"/>
    </xf>
    <xf numFmtId="43" fontId="2" fillId="3" borderId="11" xfId="1" applyFont="1" applyFill="1" applyBorder="1" applyAlignment="1">
      <alignment horizontal="center" vertical="top" wrapText="1"/>
    </xf>
    <xf numFmtId="43" fontId="2" fillId="3" borderId="12" xfId="1" applyFont="1" applyFill="1" applyBorder="1" applyAlignment="1">
      <alignment horizontal="center" vertical="top" wrapText="1"/>
    </xf>
    <xf numFmtId="43" fontId="2" fillId="3" borderId="5" xfId="1" applyFont="1" applyFill="1" applyBorder="1" applyAlignment="1">
      <alignment horizontal="center" vertical="top" wrapText="1"/>
    </xf>
    <xf numFmtId="43" fontId="2" fillId="7" borderId="4" xfId="1" applyFont="1" applyFill="1" applyBorder="1" applyAlignment="1">
      <alignment horizontal="center" vertical="top" wrapText="1"/>
    </xf>
    <xf numFmtId="0" fontId="2" fillId="3" borderId="4" xfId="0" applyFont="1" applyFill="1" applyBorder="1" applyAlignment="1">
      <alignment horizontal="center" vertical="top" wrapText="1"/>
    </xf>
    <xf numFmtId="43" fontId="2" fillId="2" borderId="7" xfId="1" applyFont="1" applyFill="1" applyBorder="1" applyAlignment="1">
      <alignment horizontal="center" vertical="top" wrapText="1"/>
    </xf>
    <xf numFmtId="43" fontId="2" fillId="2" borderId="9" xfId="1" applyFont="1" applyFill="1" applyBorder="1" applyAlignment="1">
      <alignment horizontal="center" vertical="top" wrapText="1"/>
    </xf>
    <xf numFmtId="43" fontId="2" fillId="7" borderId="11" xfId="1" applyFont="1" applyFill="1" applyBorder="1" applyAlignment="1">
      <alignment horizontal="center" vertical="top" wrapText="1"/>
    </xf>
    <xf numFmtId="43" fontId="2" fillId="7" borderId="12" xfId="1" applyFont="1" applyFill="1" applyBorder="1" applyAlignment="1">
      <alignment horizontal="center" vertical="top" wrapText="1"/>
    </xf>
    <xf numFmtId="43" fontId="2" fillId="7" borderId="5" xfId="1" applyFont="1" applyFill="1" applyBorder="1" applyAlignment="1">
      <alignment horizontal="center" vertical="top" wrapText="1"/>
    </xf>
    <xf numFmtId="0" fontId="2" fillId="3" borderId="7" xfId="0" applyFont="1" applyFill="1" applyBorder="1" applyAlignment="1">
      <alignment horizontal="center" vertical="top"/>
    </xf>
    <xf numFmtId="0" fontId="2" fillId="3" borderId="9" xfId="0" applyFont="1" applyFill="1" applyBorder="1" applyAlignment="1">
      <alignment horizontal="center" vertical="top"/>
    </xf>
    <xf numFmtId="0" fontId="2" fillId="3" borderId="7"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9" xfId="0" applyFont="1" applyFill="1" applyBorder="1" applyAlignment="1">
      <alignment horizontal="center" vertical="top" wrapText="1"/>
    </xf>
    <xf numFmtId="43" fontId="2" fillId="4" borderId="7" xfId="1" applyFont="1" applyFill="1" applyBorder="1" applyAlignment="1">
      <alignment horizontal="center" vertical="top" wrapText="1"/>
    </xf>
    <xf numFmtId="43" fontId="2" fillId="4" borderId="9" xfId="1" applyFont="1" applyFill="1" applyBorder="1" applyAlignment="1">
      <alignment horizontal="center" vertical="top" wrapText="1"/>
    </xf>
    <xf numFmtId="43" fontId="2" fillId="7" borderId="7" xfId="1" applyFont="1" applyFill="1" applyBorder="1" applyAlignment="1">
      <alignment horizontal="center" vertical="top" wrapText="1"/>
    </xf>
    <xf numFmtId="43" fontId="2" fillId="7" borderId="9" xfId="1" applyFont="1" applyFill="1" applyBorder="1" applyAlignment="1">
      <alignment horizontal="center" vertical="top" wrapText="1"/>
    </xf>
    <xf numFmtId="0" fontId="2" fillId="7" borderId="7"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11" xfId="0" applyFont="1" applyFill="1" applyBorder="1" applyAlignment="1">
      <alignment horizontal="center" vertical="top" wrapText="1"/>
    </xf>
    <xf numFmtId="0" fontId="2" fillId="7" borderId="5" xfId="0" applyFont="1" applyFill="1" applyBorder="1" applyAlignment="1">
      <alignment horizontal="center" vertical="top" wrapText="1"/>
    </xf>
    <xf numFmtId="43" fontId="2" fillId="2" borderId="4" xfId="1" applyFont="1" applyFill="1" applyBorder="1" applyAlignment="1">
      <alignment horizontal="center" vertical="top" wrapText="1"/>
    </xf>
  </cellXfs>
  <cellStyles count="5">
    <cellStyle name="Comma" xfId="1" builtinId="3"/>
    <cellStyle name="Comma 4" xfId="3"/>
    <cellStyle name="Normal" xfId="0" builtinId="0"/>
    <cellStyle name="Normal 5 2" xfId="4"/>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103"/>
  <sheetViews>
    <sheetView tabSelected="1" topLeftCell="A80" zoomScale="70" zoomScaleNormal="70" workbookViewId="0">
      <selection activeCell="J84" sqref="J84:L87"/>
    </sheetView>
  </sheetViews>
  <sheetFormatPr defaultRowHeight="21.75"/>
  <cols>
    <col min="1" max="2" width="4.625" style="7" customWidth="1"/>
    <col min="3" max="3" width="12.375" style="6" bestFit="1" customWidth="1"/>
    <col min="4" max="4" width="12.625" style="9" customWidth="1"/>
    <col min="5" max="5" width="12.625" style="50" customWidth="1"/>
    <col min="6" max="6" width="6.625" style="9" customWidth="1"/>
    <col min="7" max="7" width="35.625" style="41" customWidth="1"/>
    <col min="8" max="9" width="5.625" style="7" customWidth="1"/>
    <col min="10" max="10" width="12.625" style="9" customWidth="1"/>
    <col min="11" max="11" width="6.625" style="6" customWidth="1"/>
    <col min="12" max="14" width="9" style="6"/>
    <col min="15" max="15" width="9.25" style="6" bestFit="1" customWidth="1"/>
    <col min="16" max="16384" width="9" style="6"/>
  </cols>
  <sheetData>
    <row r="1" spans="1:15">
      <c r="A1" s="1" t="s">
        <v>0</v>
      </c>
      <c r="B1" s="2"/>
      <c r="C1" s="3"/>
      <c r="D1" s="4"/>
      <c r="E1" s="4"/>
      <c r="F1" s="4"/>
      <c r="G1" s="5"/>
      <c r="H1" s="2"/>
      <c r="I1" s="2"/>
      <c r="J1" s="4"/>
      <c r="K1" s="3"/>
    </row>
    <row r="2" spans="1:15">
      <c r="B2" s="6"/>
      <c r="D2" s="6"/>
      <c r="E2" s="51"/>
      <c r="F2" s="8"/>
      <c r="G2" s="6"/>
      <c r="H2" s="174"/>
      <c r="I2" s="174"/>
      <c r="J2" s="174"/>
    </row>
    <row r="3" spans="1:15">
      <c r="A3" s="72"/>
      <c r="B3" s="72"/>
      <c r="C3" s="73"/>
      <c r="D3" s="74"/>
      <c r="E3" s="181" t="s">
        <v>155</v>
      </c>
      <c r="F3" s="182"/>
      <c r="G3" s="182"/>
      <c r="H3" s="182"/>
      <c r="I3" s="182"/>
      <c r="J3" s="182"/>
      <c r="K3" s="183"/>
    </row>
    <row r="4" spans="1:15">
      <c r="A4" s="175" t="s">
        <v>1</v>
      </c>
      <c r="B4" s="176" t="s">
        <v>2</v>
      </c>
      <c r="C4" s="176" t="s">
        <v>3</v>
      </c>
      <c r="D4" s="178" t="s">
        <v>4</v>
      </c>
      <c r="E4" s="179" t="s">
        <v>5</v>
      </c>
      <c r="F4" s="180" t="s">
        <v>6</v>
      </c>
      <c r="G4" s="185" t="s">
        <v>7</v>
      </c>
      <c r="H4" s="185" t="s">
        <v>8</v>
      </c>
      <c r="I4" s="185"/>
      <c r="J4" s="184" t="s">
        <v>9</v>
      </c>
      <c r="K4" s="184" t="s">
        <v>6</v>
      </c>
    </row>
    <row r="5" spans="1:15" ht="53.25" customHeight="1">
      <c r="A5" s="175"/>
      <c r="B5" s="177"/>
      <c r="C5" s="176"/>
      <c r="D5" s="178"/>
      <c r="E5" s="179"/>
      <c r="F5" s="180"/>
      <c r="G5" s="185"/>
      <c r="H5" s="75" t="s">
        <v>10</v>
      </c>
      <c r="I5" s="75" t="s">
        <v>11</v>
      </c>
      <c r="J5" s="184"/>
      <c r="K5" s="184"/>
    </row>
    <row r="6" spans="1:15">
      <c r="A6" s="79">
        <v>1</v>
      </c>
      <c r="B6" s="34">
        <v>1</v>
      </c>
      <c r="C6" s="81" t="s">
        <v>12</v>
      </c>
      <c r="D6" s="29">
        <v>22258.53</v>
      </c>
      <c r="E6" s="53">
        <v>6686.3</v>
      </c>
      <c r="F6" s="33">
        <f>E6/D6</f>
        <v>0.30039270338158003</v>
      </c>
      <c r="G6" s="30" t="s">
        <v>13</v>
      </c>
      <c r="H6" s="31" t="s">
        <v>14</v>
      </c>
      <c r="I6" s="31" t="s">
        <v>15</v>
      </c>
      <c r="J6" s="29">
        <f>D6-E6</f>
        <v>15572.23</v>
      </c>
      <c r="K6" s="71">
        <f>J6/D6</f>
        <v>0.69960729661842003</v>
      </c>
    </row>
    <row r="7" spans="1:15">
      <c r="A7" s="80">
        <f>A6+1</f>
        <v>2</v>
      </c>
      <c r="B7" s="11"/>
      <c r="C7" s="12" t="s">
        <v>16</v>
      </c>
      <c r="D7" s="13">
        <v>13994.7</v>
      </c>
      <c r="E7" s="22">
        <v>3669.58</v>
      </c>
      <c r="F7" s="14">
        <f t="shared" ref="F7:F70" si="0">E7/D7</f>
        <v>0.26221212316091091</v>
      </c>
      <c r="G7" s="15" t="s">
        <v>13</v>
      </c>
      <c r="H7" s="10" t="s">
        <v>14</v>
      </c>
      <c r="I7" s="10" t="s">
        <v>15</v>
      </c>
      <c r="J7" s="13">
        <f t="shared" ref="J7:J56" si="1">D7-E7</f>
        <v>10325.120000000001</v>
      </c>
      <c r="K7" s="69">
        <f t="shared" ref="K7:K70" si="2">J7/D7</f>
        <v>0.73778787683908909</v>
      </c>
    </row>
    <row r="8" spans="1:15">
      <c r="A8" s="80">
        <f t="shared" ref="A8:A64" si="3">A7+1</f>
        <v>3</v>
      </c>
      <c r="B8" s="11"/>
      <c r="C8" s="12" t="s">
        <v>17</v>
      </c>
      <c r="D8" s="13">
        <v>1351.56</v>
      </c>
      <c r="E8" s="22">
        <v>619.26</v>
      </c>
      <c r="F8" s="14">
        <f t="shared" si="0"/>
        <v>0.45818165675219746</v>
      </c>
      <c r="G8" s="15" t="s">
        <v>13</v>
      </c>
      <c r="H8" s="10" t="s">
        <v>14</v>
      </c>
      <c r="I8" s="10" t="s">
        <v>15</v>
      </c>
      <c r="J8" s="13">
        <f t="shared" si="1"/>
        <v>732.3</v>
      </c>
      <c r="K8" s="69">
        <f t="shared" si="2"/>
        <v>0.54181834324780254</v>
      </c>
    </row>
    <row r="9" spans="1:15">
      <c r="A9" s="80">
        <f t="shared" si="3"/>
        <v>4</v>
      </c>
      <c r="B9" s="31"/>
      <c r="C9" s="12" t="s">
        <v>18</v>
      </c>
      <c r="D9" s="13">
        <v>902.25</v>
      </c>
      <c r="E9" s="22">
        <f>120+782.25</f>
        <v>902.25</v>
      </c>
      <c r="F9" s="14">
        <f t="shared" si="0"/>
        <v>1</v>
      </c>
      <c r="G9" s="15" t="s">
        <v>13</v>
      </c>
      <c r="H9" s="10" t="s">
        <v>14</v>
      </c>
      <c r="I9" s="10" t="s">
        <v>15</v>
      </c>
      <c r="J9" s="13">
        <f t="shared" si="1"/>
        <v>0</v>
      </c>
      <c r="K9" s="69">
        <f t="shared" si="2"/>
        <v>0</v>
      </c>
    </row>
    <row r="10" spans="1:15">
      <c r="A10" s="80">
        <f t="shared" si="3"/>
        <v>5</v>
      </c>
      <c r="B10" s="34">
        <v>2</v>
      </c>
      <c r="C10" s="12" t="s">
        <v>20</v>
      </c>
      <c r="D10" s="13">
        <v>70206</v>
      </c>
      <c r="E10" s="22">
        <v>0</v>
      </c>
      <c r="F10" s="14">
        <f t="shared" si="0"/>
        <v>0</v>
      </c>
      <c r="G10" s="10" t="s">
        <v>15</v>
      </c>
      <c r="H10" s="10" t="s">
        <v>15</v>
      </c>
      <c r="I10" s="10" t="s">
        <v>15</v>
      </c>
      <c r="J10" s="13">
        <f t="shared" si="1"/>
        <v>70206</v>
      </c>
      <c r="K10" s="69">
        <f t="shared" si="2"/>
        <v>1</v>
      </c>
    </row>
    <row r="11" spans="1:15">
      <c r="A11" s="80">
        <f t="shared" si="3"/>
        <v>6</v>
      </c>
      <c r="B11" s="11"/>
      <c r="C11" s="12" t="s">
        <v>21</v>
      </c>
      <c r="D11" s="13">
        <v>120000</v>
      </c>
      <c r="E11" s="22">
        <f>19893+9588.81</f>
        <v>29481.809999999998</v>
      </c>
      <c r="F11" s="14">
        <f t="shared" si="0"/>
        <v>0.24568174999999998</v>
      </c>
      <c r="G11" s="15" t="s">
        <v>22</v>
      </c>
      <c r="H11" s="10" t="s">
        <v>14</v>
      </c>
      <c r="I11" s="10" t="s">
        <v>15</v>
      </c>
      <c r="J11" s="13">
        <f t="shared" si="1"/>
        <v>90518.19</v>
      </c>
      <c r="K11" s="69">
        <f t="shared" si="2"/>
        <v>0.75431824999999997</v>
      </c>
      <c r="O11" s="172"/>
    </row>
    <row r="12" spans="1:15">
      <c r="A12" s="80">
        <f t="shared" si="3"/>
        <v>7</v>
      </c>
      <c r="B12" s="11"/>
      <c r="C12" s="12" t="s">
        <v>23</v>
      </c>
      <c r="D12" s="13">
        <v>0</v>
      </c>
      <c r="E12" s="22">
        <v>0</v>
      </c>
      <c r="F12" s="22">
        <v>0</v>
      </c>
      <c r="G12" s="10" t="s">
        <v>15</v>
      </c>
      <c r="H12" s="10" t="s">
        <v>15</v>
      </c>
      <c r="I12" s="10" t="s">
        <v>15</v>
      </c>
      <c r="J12" s="13">
        <f t="shared" si="1"/>
        <v>0</v>
      </c>
      <c r="K12" s="13">
        <v>0</v>
      </c>
    </row>
    <row r="13" spans="1:15">
      <c r="A13" s="80">
        <f t="shared" si="3"/>
        <v>8</v>
      </c>
      <c r="B13" s="31"/>
      <c r="C13" s="12" t="s">
        <v>24</v>
      </c>
      <c r="D13" s="13">
        <v>85170</v>
      </c>
      <c r="E13" s="56">
        <f>51324+2665</f>
        <v>53989</v>
      </c>
      <c r="F13" s="14">
        <f t="shared" si="0"/>
        <v>0.63389691205823651</v>
      </c>
      <c r="G13" s="15" t="s">
        <v>22</v>
      </c>
      <c r="H13" s="10" t="s">
        <v>14</v>
      </c>
      <c r="I13" s="10" t="s">
        <v>15</v>
      </c>
      <c r="J13" s="13">
        <f t="shared" si="1"/>
        <v>31181</v>
      </c>
      <c r="K13" s="69">
        <f t="shared" si="2"/>
        <v>0.36610308794176355</v>
      </c>
    </row>
    <row r="14" spans="1:15">
      <c r="A14" s="80">
        <f t="shared" si="3"/>
        <v>9</v>
      </c>
      <c r="B14" s="34">
        <v>3</v>
      </c>
      <c r="C14" s="12" t="s">
        <v>25</v>
      </c>
      <c r="D14" s="13">
        <v>24376</v>
      </c>
      <c r="E14" s="22">
        <v>3360</v>
      </c>
      <c r="F14" s="14">
        <f t="shared" si="0"/>
        <v>0.13784049885132918</v>
      </c>
      <c r="G14" s="15" t="s">
        <v>26</v>
      </c>
      <c r="H14" s="10" t="s">
        <v>14</v>
      </c>
      <c r="I14" s="10" t="s">
        <v>15</v>
      </c>
      <c r="J14" s="13">
        <f t="shared" si="1"/>
        <v>21016</v>
      </c>
      <c r="K14" s="69">
        <f t="shared" si="2"/>
        <v>0.86215950114867079</v>
      </c>
    </row>
    <row r="15" spans="1:15">
      <c r="A15" s="80">
        <f t="shared" si="3"/>
        <v>10</v>
      </c>
      <c r="B15" s="11"/>
      <c r="C15" s="12" t="s">
        <v>27</v>
      </c>
      <c r="D15" s="13">
        <v>28390</v>
      </c>
      <c r="E15" s="22">
        <v>17915</v>
      </c>
      <c r="F15" s="14">
        <f t="shared" si="0"/>
        <v>0.63103205353997882</v>
      </c>
      <c r="G15" s="15" t="s">
        <v>28</v>
      </c>
      <c r="H15" s="10" t="s">
        <v>14</v>
      </c>
      <c r="I15" s="10" t="s">
        <v>15</v>
      </c>
      <c r="J15" s="13">
        <f t="shared" si="1"/>
        <v>10475</v>
      </c>
      <c r="K15" s="69">
        <f t="shared" si="2"/>
        <v>0.36896794646002112</v>
      </c>
    </row>
    <row r="16" spans="1:15">
      <c r="A16" s="80">
        <f t="shared" si="3"/>
        <v>11</v>
      </c>
      <c r="B16" s="11"/>
      <c r="C16" s="12" t="s">
        <v>29</v>
      </c>
      <c r="D16" s="13">
        <v>36957</v>
      </c>
      <c r="E16" s="22">
        <v>0</v>
      </c>
      <c r="F16" s="14">
        <f t="shared" si="0"/>
        <v>0</v>
      </c>
      <c r="G16" s="10" t="s">
        <v>15</v>
      </c>
      <c r="H16" s="10" t="s">
        <v>15</v>
      </c>
      <c r="I16" s="10" t="s">
        <v>15</v>
      </c>
      <c r="J16" s="13">
        <f t="shared" si="1"/>
        <v>36957</v>
      </c>
      <c r="K16" s="69">
        <f t="shared" si="2"/>
        <v>1</v>
      </c>
    </row>
    <row r="17" spans="1:11">
      <c r="A17" s="80">
        <f t="shared" si="3"/>
        <v>12</v>
      </c>
      <c r="B17" s="11"/>
      <c r="C17" s="12" t="s">
        <v>30</v>
      </c>
      <c r="D17" s="13">
        <v>23000</v>
      </c>
      <c r="E17" s="22">
        <v>23000</v>
      </c>
      <c r="F17" s="14">
        <f t="shared" si="0"/>
        <v>1</v>
      </c>
      <c r="G17" s="15" t="s">
        <v>28</v>
      </c>
      <c r="H17" s="10" t="s">
        <v>14</v>
      </c>
      <c r="I17" s="10" t="s">
        <v>15</v>
      </c>
      <c r="J17" s="13">
        <f t="shared" si="1"/>
        <v>0</v>
      </c>
      <c r="K17" s="69">
        <f t="shared" si="2"/>
        <v>0</v>
      </c>
    </row>
    <row r="18" spans="1:11" ht="87">
      <c r="A18" s="80">
        <f t="shared" si="3"/>
        <v>13</v>
      </c>
      <c r="B18" s="34">
        <v>4</v>
      </c>
      <c r="C18" s="84" t="s">
        <v>31</v>
      </c>
      <c r="D18" s="22">
        <v>27589.5</v>
      </c>
      <c r="E18" s="22">
        <v>8337.5</v>
      </c>
      <c r="F18" s="14">
        <f t="shared" si="0"/>
        <v>0.30219830007792819</v>
      </c>
      <c r="G18" s="24" t="s">
        <v>32</v>
      </c>
      <c r="H18" s="25" t="s">
        <v>14</v>
      </c>
      <c r="I18" s="25" t="s">
        <v>15</v>
      </c>
      <c r="J18" s="13">
        <f t="shared" si="1"/>
        <v>19252</v>
      </c>
      <c r="K18" s="69">
        <f t="shared" si="2"/>
        <v>0.69780169992207175</v>
      </c>
    </row>
    <row r="19" spans="1:11" ht="65.25">
      <c r="A19" s="80">
        <f t="shared" si="3"/>
        <v>14</v>
      </c>
      <c r="B19" s="11"/>
      <c r="C19" s="84" t="s">
        <v>33</v>
      </c>
      <c r="D19" s="22">
        <v>126940.75</v>
      </c>
      <c r="E19" s="22">
        <v>8925</v>
      </c>
      <c r="F19" s="14">
        <f t="shared" si="0"/>
        <v>7.0308391907248066E-2</v>
      </c>
      <c r="G19" s="24" t="s">
        <v>34</v>
      </c>
      <c r="H19" s="25" t="s">
        <v>14</v>
      </c>
      <c r="I19" s="25" t="s">
        <v>15</v>
      </c>
      <c r="J19" s="13">
        <f t="shared" si="1"/>
        <v>118015.75</v>
      </c>
      <c r="K19" s="69">
        <f t="shared" si="2"/>
        <v>0.92969160809275198</v>
      </c>
    </row>
    <row r="20" spans="1:11" ht="152.25">
      <c r="A20" s="80">
        <f t="shared" si="3"/>
        <v>15</v>
      </c>
      <c r="B20" s="11"/>
      <c r="C20" s="84" t="s">
        <v>35</v>
      </c>
      <c r="D20" s="59">
        <v>10940.25</v>
      </c>
      <c r="E20" s="59">
        <v>9255</v>
      </c>
      <c r="F20" s="14">
        <f t="shared" si="0"/>
        <v>0.84595873037636249</v>
      </c>
      <c r="G20" s="24" t="s">
        <v>36</v>
      </c>
      <c r="H20" s="25" t="s">
        <v>14</v>
      </c>
      <c r="I20" s="25" t="s">
        <v>15</v>
      </c>
      <c r="J20" s="13">
        <f t="shared" si="1"/>
        <v>1685.25</v>
      </c>
      <c r="K20" s="69">
        <f t="shared" si="2"/>
        <v>0.15404126962363748</v>
      </c>
    </row>
    <row r="21" spans="1:11" ht="65.25">
      <c r="A21" s="80">
        <f t="shared" si="3"/>
        <v>16</v>
      </c>
      <c r="B21" s="11"/>
      <c r="C21" s="84" t="s">
        <v>37</v>
      </c>
      <c r="D21" s="22">
        <v>4293</v>
      </c>
      <c r="E21" s="22">
        <v>1830</v>
      </c>
      <c r="F21" s="14">
        <f t="shared" si="0"/>
        <v>0.42627533193570927</v>
      </c>
      <c r="G21" s="24" t="s">
        <v>38</v>
      </c>
      <c r="H21" s="25" t="s">
        <v>14</v>
      </c>
      <c r="I21" s="25" t="s">
        <v>15</v>
      </c>
      <c r="J21" s="13">
        <f t="shared" si="1"/>
        <v>2463</v>
      </c>
      <c r="K21" s="69">
        <f t="shared" si="2"/>
        <v>0.57372466806429068</v>
      </c>
    </row>
    <row r="22" spans="1:11" ht="261">
      <c r="A22" s="80">
        <f t="shared" si="3"/>
        <v>17</v>
      </c>
      <c r="B22" s="34">
        <v>5</v>
      </c>
      <c r="C22" s="12" t="s">
        <v>39</v>
      </c>
      <c r="D22" s="22">
        <v>421342.54</v>
      </c>
      <c r="E22" s="22">
        <f>190000</f>
        <v>190000</v>
      </c>
      <c r="F22" s="14">
        <f t="shared" si="0"/>
        <v>0.45093951348942835</v>
      </c>
      <c r="G22" s="24" t="s">
        <v>40</v>
      </c>
      <c r="H22" s="25" t="s">
        <v>14</v>
      </c>
      <c r="I22" s="25" t="s">
        <v>15</v>
      </c>
      <c r="J22" s="13">
        <f t="shared" si="1"/>
        <v>231342.53999999998</v>
      </c>
      <c r="K22" s="69">
        <f t="shared" si="2"/>
        <v>0.5490604865105716</v>
      </c>
    </row>
    <row r="23" spans="1:11" ht="108.75">
      <c r="A23" s="80">
        <f>A22+1</f>
        <v>18</v>
      </c>
      <c r="B23" s="11"/>
      <c r="C23" s="12" t="s">
        <v>41</v>
      </c>
      <c r="D23" s="22">
        <v>144923</v>
      </c>
      <c r="E23" s="22">
        <f>57616.76+22881</f>
        <v>80497.760000000009</v>
      </c>
      <c r="F23" s="14">
        <f t="shared" si="0"/>
        <v>0.55545192964539791</v>
      </c>
      <c r="G23" s="15" t="s">
        <v>156</v>
      </c>
      <c r="H23" s="25" t="s">
        <v>14</v>
      </c>
      <c r="I23" s="25" t="s">
        <v>15</v>
      </c>
      <c r="J23" s="13">
        <f t="shared" si="1"/>
        <v>64425.239999999991</v>
      </c>
      <c r="K23" s="69">
        <f t="shared" si="2"/>
        <v>0.44454807035460203</v>
      </c>
    </row>
    <row r="24" spans="1:11" ht="65.25">
      <c r="A24" s="80">
        <f>A23+1</f>
        <v>19</v>
      </c>
      <c r="B24" s="11"/>
      <c r="C24" s="12" t="s">
        <v>42</v>
      </c>
      <c r="D24" s="22">
        <v>346092</v>
      </c>
      <c r="E24" s="22">
        <v>213501.59</v>
      </c>
      <c r="F24" s="14">
        <f t="shared" si="0"/>
        <v>0.61689258925372448</v>
      </c>
      <c r="G24" s="24" t="s">
        <v>43</v>
      </c>
      <c r="H24" s="25" t="s">
        <v>14</v>
      </c>
      <c r="I24" s="25" t="s">
        <v>15</v>
      </c>
      <c r="J24" s="13">
        <f t="shared" si="1"/>
        <v>132590.41</v>
      </c>
      <c r="K24" s="69">
        <f t="shared" si="2"/>
        <v>0.38310741074627558</v>
      </c>
    </row>
    <row r="25" spans="1:11" ht="87">
      <c r="A25" s="80">
        <f t="shared" si="3"/>
        <v>20</v>
      </c>
      <c r="B25" s="11"/>
      <c r="C25" s="12" t="s">
        <v>45</v>
      </c>
      <c r="D25" s="22">
        <v>50000</v>
      </c>
      <c r="E25" s="22">
        <v>20000</v>
      </c>
      <c r="F25" s="14">
        <f t="shared" si="0"/>
        <v>0.4</v>
      </c>
      <c r="G25" s="24" t="s">
        <v>46</v>
      </c>
      <c r="H25" s="25" t="s">
        <v>47</v>
      </c>
      <c r="I25" s="25" t="s">
        <v>47</v>
      </c>
      <c r="J25" s="13">
        <f t="shared" si="1"/>
        <v>30000</v>
      </c>
      <c r="K25" s="69">
        <f t="shared" si="2"/>
        <v>0.6</v>
      </c>
    </row>
    <row r="26" spans="1:11">
      <c r="A26" s="80">
        <f t="shared" si="3"/>
        <v>21</v>
      </c>
      <c r="B26" s="34">
        <v>6</v>
      </c>
      <c r="C26" s="12" t="s">
        <v>48</v>
      </c>
      <c r="D26" s="13">
        <v>0</v>
      </c>
      <c r="E26" s="22">
        <v>0</v>
      </c>
      <c r="F26" s="13">
        <v>0</v>
      </c>
      <c r="G26" s="10" t="s">
        <v>15</v>
      </c>
      <c r="H26" s="10" t="s">
        <v>15</v>
      </c>
      <c r="I26" s="10" t="s">
        <v>15</v>
      </c>
      <c r="J26" s="13">
        <f t="shared" si="1"/>
        <v>0</v>
      </c>
      <c r="K26" s="13">
        <v>0</v>
      </c>
    </row>
    <row r="27" spans="1:11" ht="130.5">
      <c r="A27" s="80">
        <f t="shared" si="3"/>
        <v>22</v>
      </c>
      <c r="B27" s="11"/>
      <c r="C27" s="12" t="s">
        <v>49</v>
      </c>
      <c r="D27" s="13">
        <v>10090000</v>
      </c>
      <c r="E27" s="59">
        <f>8790000+150000</f>
        <v>8940000</v>
      </c>
      <c r="F27" s="14">
        <f t="shared" si="0"/>
        <v>0.88602576808721512</v>
      </c>
      <c r="G27" s="15" t="s">
        <v>158</v>
      </c>
      <c r="H27" s="10" t="s">
        <v>15</v>
      </c>
      <c r="I27" s="10" t="s">
        <v>14</v>
      </c>
      <c r="J27" s="13">
        <f t="shared" si="1"/>
        <v>1150000</v>
      </c>
      <c r="K27" s="69">
        <f t="shared" si="2"/>
        <v>0.11397423191278494</v>
      </c>
    </row>
    <row r="28" spans="1:11" ht="130.5">
      <c r="A28" s="80">
        <f t="shared" si="3"/>
        <v>23</v>
      </c>
      <c r="B28" s="11"/>
      <c r="C28" s="12" t="s">
        <v>50</v>
      </c>
      <c r="D28" s="60">
        <v>167000</v>
      </c>
      <c r="E28" s="59">
        <f>50704+4860</f>
        <v>55564</v>
      </c>
      <c r="F28" s="14">
        <f t="shared" si="0"/>
        <v>0.3327185628742515</v>
      </c>
      <c r="G28" s="15" t="s">
        <v>159</v>
      </c>
      <c r="H28" s="10" t="s">
        <v>14</v>
      </c>
      <c r="I28" s="10" t="s">
        <v>14</v>
      </c>
      <c r="J28" s="13">
        <f t="shared" si="1"/>
        <v>111436</v>
      </c>
      <c r="K28" s="69">
        <f t="shared" si="2"/>
        <v>0.6672814371257485</v>
      </c>
    </row>
    <row r="29" spans="1:11" ht="65.25">
      <c r="A29" s="80">
        <f t="shared" si="3"/>
        <v>24</v>
      </c>
      <c r="B29" s="11"/>
      <c r="C29" s="12" t="s">
        <v>51</v>
      </c>
      <c r="D29" s="60">
        <v>780031</v>
      </c>
      <c r="E29" s="59">
        <v>293317</v>
      </c>
      <c r="F29" s="14">
        <f t="shared" si="0"/>
        <v>0.3760324910163827</v>
      </c>
      <c r="G29" s="15" t="s">
        <v>52</v>
      </c>
      <c r="H29" s="10" t="s">
        <v>14</v>
      </c>
      <c r="I29" s="10" t="s">
        <v>15</v>
      </c>
      <c r="J29" s="13">
        <f t="shared" si="1"/>
        <v>486714</v>
      </c>
      <c r="K29" s="69">
        <f t="shared" si="2"/>
        <v>0.6239675089836173</v>
      </c>
    </row>
    <row r="30" spans="1:11" ht="261">
      <c r="A30" s="80">
        <f t="shared" si="3"/>
        <v>25</v>
      </c>
      <c r="B30" s="31"/>
      <c r="C30" s="12" t="s">
        <v>53</v>
      </c>
      <c r="D30" s="13">
        <v>98550</v>
      </c>
      <c r="E30" s="59">
        <v>78009</v>
      </c>
      <c r="F30" s="14">
        <f t="shared" si="0"/>
        <v>0.79156773211567732</v>
      </c>
      <c r="G30" s="15" t="s">
        <v>54</v>
      </c>
      <c r="H30" s="10" t="s">
        <v>14</v>
      </c>
      <c r="I30" s="10" t="s">
        <v>15</v>
      </c>
      <c r="J30" s="13">
        <f t="shared" si="1"/>
        <v>20541</v>
      </c>
      <c r="K30" s="69">
        <f t="shared" si="2"/>
        <v>0.20843226788432268</v>
      </c>
    </row>
    <row r="31" spans="1:11" ht="43.5">
      <c r="A31" s="54">
        <f t="shared" si="3"/>
        <v>26</v>
      </c>
      <c r="B31" s="11"/>
      <c r="C31" s="55" t="s">
        <v>55</v>
      </c>
      <c r="D31" s="13">
        <v>24000</v>
      </c>
      <c r="E31" s="22">
        <v>10800</v>
      </c>
      <c r="F31" s="14">
        <f t="shared" si="0"/>
        <v>0.45</v>
      </c>
      <c r="G31" s="15" t="s">
        <v>56</v>
      </c>
      <c r="H31" s="10" t="s">
        <v>19</v>
      </c>
      <c r="I31" s="10" t="s">
        <v>15</v>
      </c>
      <c r="J31" s="13">
        <f t="shared" si="1"/>
        <v>13200</v>
      </c>
      <c r="K31" s="69">
        <f t="shared" si="2"/>
        <v>0.55000000000000004</v>
      </c>
    </row>
    <row r="32" spans="1:11" ht="65.25">
      <c r="A32" s="80">
        <f t="shared" si="3"/>
        <v>27</v>
      </c>
      <c r="B32" s="34">
        <v>7</v>
      </c>
      <c r="C32" s="12" t="s">
        <v>57</v>
      </c>
      <c r="D32" s="22">
        <v>191156</v>
      </c>
      <c r="E32" s="22">
        <f>143311.5+41868.5</f>
        <v>185180</v>
      </c>
      <c r="F32" s="14">
        <f t="shared" si="0"/>
        <v>0.96873757559270957</v>
      </c>
      <c r="G32" s="24" t="s">
        <v>58</v>
      </c>
      <c r="H32" s="25" t="s">
        <v>14</v>
      </c>
      <c r="I32" s="25" t="s">
        <v>14</v>
      </c>
      <c r="J32" s="13">
        <f t="shared" si="1"/>
        <v>5976</v>
      </c>
      <c r="K32" s="69">
        <f t="shared" si="2"/>
        <v>3.1262424407290379E-2</v>
      </c>
    </row>
    <row r="33" spans="1:11" ht="87">
      <c r="A33" s="80">
        <f t="shared" si="3"/>
        <v>28</v>
      </c>
      <c r="B33" s="11"/>
      <c r="C33" s="12" t="s">
        <v>59</v>
      </c>
      <c r="D33" s="22">
        <v>206878</v>
      </c>
      <c r="E33" s="58">
        <f>89420+9318.15</f>
        <v>98738.15</v>
      </c>
      <c r="F33" s="14">
        <f t="shared" si="0"/>
        <v>0.47727718752114773</v>
      </c>
      <c r="G33" s="24" t="s">
        <v>160</v>
      </c>
      <c r="H33" s="25" t="s">
        <v>14</v>
      </c>
      <c r="I33" s="25" t="s">
        <v>14</v>
      </c>
      <c r="J33" s="13">
        <f t="shared" si="1"/>
        <v>108139.85</v>
      </c>
      <c r="K33" s="69">
        <f t="shared" si="2"/>
        <v>0.52272281247885233</v>
      </c>
    </row>
    <row r="34" spans="1:11" ht="174">
      <c r="A34" s="80">
        <f t="shared" si="3"/>
        <v>29</v>
      </c>
      <c r="B34" s="11"/>
      <c r="C34" s="12" t="s">
        <v>60</v>
      </c>
      <c r="D34" s="59">
        <v>356608</v>
      </c>
      <c r="E34" s="59">
        <f>82044.1+29074.45</f>
        <v>111118.55</v>
      </c>
      <c r="F34" s="14">
        <f t="shared" si="0"/>
        <v>0.31159859004845658</v>
      </c>
      <c r="G34" s="24" t="s">
        <v>61</v>
      </c>
      <c r="H34" s="25"/>
      <c r="I34" s="25" t="s">
        <v>14</v>
      </c>
      <c r="J34" s="13">
        <f t="shared" si="1"/>
        <v>245489.45</v>
      </c>
      <c r="K34" s="69">
        <f t="shared" si="2"/>
        <v>0.68840140995154342</v>
      </c>
    </row>
    <row r="35" spans="1:11" ht="87">
      <c r="A35" s="80">
        <f>A34+1</f>
        <v>30</v>
      </c>
      <c r="B35" s="11"/>
      <c r="C35" s="12" t="s">
        <v>62</v>
      </c>
      <c r="D35" s="59">
        <v>145410</v>
      </c>
      <c r="E35" s="59">
        <f>109887.75+20000</f>
        <v>129887.75</v>
      </c>
      <c r="F35" s="14">
        <f t="shared" si="0"/>
        <v>0.89325183962588539</v>
      </c>
      <c r="G35" s="24" t="s">
        <v>63</v>
      </c>
      <c r="H35" s="25" t="s">
        <v>14</v>
      </c>
      <c r="I35" s="25" t="s">
        <v>14</v>
      </c>
      <c r="J35" s="13">
        <f t="shared" si="1"/>
        <v>15522.25</v>
      </c>
      <c r="K35" s="69">
        <f t="shared" si="2"/>
        <v>0.10674816037411457</v>
      </c>
    </row>
    <row r="36" spans="1:11" ht="87">
      <c r="A36" s="80">
        <f t="shared" si="3"/>
        <v>31</v>
      </c>
      <c r="B36" s="11"/>
      <c r="C36" s="12" t="s">
        <v>64</v>
      </c>
      <c r="D36" s="59">
        <v>556680</v>
      </c>
      <c r="E36" s="59">
        <f>237718.15</f>
        <v>237718.15</v>
      </c>
      <c r="F36" s="14">
        <f t="shared" si="0"/>
        <v>0.42702836459006971</v>
      </c>
      <c r="G36" s="24" t="s">
        <v>65</v>
      </c>
      <c r="H36" s="25" t="s">
        <v>14</v>
      </c>
      <c r="I36" s="25" t="s">
        <v>14</v>
      </c>
      <c r="J36" s="13">
        <f t="shared" si="1"/>
        <v>318961.84999999998</v>
      </c>
      <c r="K36" s="69">
        <f t="shared" si="2"/>
        <v>0.57297163540993024</v>
      </c>
    </row>
    <row r="37" spans="1:11" ht="43.5">
      <c r="A37" s="80">
        <f t="shared" si="3"/>
        <v>32</v>
      </c>
      <c r="B37" s="34">
        <v>8</v>
      </c>
      <c r="C37" s="12" t="s">
        <v>66</v>
      </c>
      <c r="D37" s="13">
        <v>464000</v>
      </c>
      <c r="E37" s="22">
        <f>87188+1870</f>
        <v>89058</v>
      </c>
      <c r="F37" s="14">
        <f t="shared" si="0"/>
        <v>0.1919353448275862</v>
      </c>
      <c r="G37" s="15" t="s">
        <v>161</v>
      </c>
      <c r="H37" s="10" t="s">
        <v>14</v>
      </c>
      <c r="I37" s="10" t="s">
        <v>15</v>
      </c>
      <c r="J37" s="13">
        <f t="shared" si="1"/>
        <v>374942</v>
      </c>
      <c r="K37" s="69">
        <f t="shared" si="2"/>
        <v>0.80806465517241377</v>
      </c>
    </row>
    <row r="38" spans="1:11">
      <c r="A38" s="80">
        <f t="shared" si="3"/>
        <v>33</v>
      </c>
      <c r="B38" s="11"/>
      <c r="C38" s="12" t="s">
        <v>68</v>
      </c>
      <c r="D38" s="13">
        <v>934598</v>
      </c>
      <c r="E38" s="22">
        <f>395241+83380</f>
        <v>478621</v>
      </c>
      <c r="F38" s="14">
        <f t="shared" si="0"/>
        <v>0.51211429941001374</v>
      </c>
      <c r="G38" s="15" t="s">
        <v>67</v>
      </c>
      <c r="H38" s="10" t="s">
        <v>14</v>
      </c>
      <c r="I38" s="10"/>
      <c r="J38" s="13">
        <f t="shared" si="1"/>
        <v>455977</v>
      </c>
      <c r="K38" s="69">
        <f t="shared" si="2"/>
        <v>0.48788570058998626</v>
      </c>
    </row>
    <row r="39" spans="1:11">
      <c r="A39" s="80">
        <f t="shared" si="3"/>
        <v>34</v>
      </c>
      <c r="B39" s="11"/>
      <c r="C39" s="12" t="s">
        <v>69</v>
      </c>
      <c r="D39" s="13">
        <v>0</v>
      </c>
      <c r="E39" s="22">
        <v>0</v>
      </c>
      <c r="F39" s="22">
        <v>0</v>
      </c>
      <c r="G39" s="10" t="s">
        <v>15</v>
      </c>
      <c r="H39" s="10" t="s">
        <v>15</v>
      </c>
      <c r="I39" s="10" t="s">
        <v>15</v>
      </c>
      <c r="J39" s="13">
        <f t="shared" si="1"/>
        <v>0</v>
      </c>
      <c r="K39" s="38" t="s">
        <v>15</v>
      </c>
    </row>
    <row r="40" spans="1:11">
      <c r="A40" s="80">
        <f t="shared" si="3"/>
        <v>35</v>
      </c>
      <c r="B40" s="11"/>
      <c r="C40" s="12" t="s">
        <v>70</v>
      </c>
      <c r="D40" s="13">
        <v>652896</v>
      </c>
      <c r="E40" s="22">
        <f>188295+234101</f>
        <v>422396</v>
      </c>
      <c r="F40" s="14">
        <f t="shared" si="0"/>
        <v>0.64695755526148113</v>
      </c>
      <c r="G40" s="15" t="s">
        <v>67</v>
      </c>
      <c r="H40" s="10" t="s">
        <v>14</v>
      </c>
      <c r="I40" s="10"/>
      <c r="J40" s="13">
        <f t="shared" si="1"/>
        <v>230500</v>
      </c>
      <c r="K40" s="69">
        <f t="shared" si="2"/>
        <v>0.35304244473851887</v>
      </c>
    </row>
    <row r="41" spans="1:11" s="52" customFormat="1">
      <c r="A41" s="83">
        <f t="shared" si="3"/>
        <v>36</v>
      </c>
      <c r="B41" s="85"/>
      <c r="C41" s="84" t="s">
        <v>71</v>
      </c>
      <c r="D41" s="22">
        <v>440792</v>
      </c>
      <c r="E41" s="22">
        <v>357965</v>
      </c>
      <c r="F41" s="26">
        <f t="shared" si="0"/>
        <v>0.8120950470970435</v>
      </c>
      <c r="G41" s="24" t="s">
        <v>67</v>
      </c>
      <c r="H41" s="25" t="s">
        <v>14</v>
      </c>
      <c r="I41" s="25"/>
      <c r="J41" s="22">
        <f t="shared" si="1"/>
        <v>82827</v>
      </c>
      <c r="K41" s="23">
        <f t="shared" si="2"/>
        <v>0.1879049529029565</v>
      </c>
    </row>
    <row r="42" spans="1:11" ht="65.25">
      <c r="A42" s="80">
        <f t="shared" si="3"/>
        <v>37</v>
      </c>
      <c r="B42" s="34">
        <v>9</v>
      </c>
      <c r="C42" s="12" t="s">
        <v>72</v>
      </c>
      <c r="D42" s="13">
        <v>19176</v>
      </c>
      <c r="E42" s="22">
        <f>1519+276</f>
        <v>1795</v>
      </c>
      <c r="F42" s="14">
        <f t="shared" si="0"/>
        <v>9.3606591572799339E-2</v>
      </c>
      <c r="G42" s="15" t="s">
        <v>157</v>
      </c>
      <c r="H42" s="10" t="s">
        <v>14</v>
      </c>
      <c r="I42" s="10" t="s">
        <v>15</v>
      </c>
      <c r="J42" s="13">
        <f t="shared" si="1"/>
        <v>17381</v>
      </c>
      <c r="K42" s="69">
        <f t="shared" si="2"/>
        <v>0.90639340842720062</v>
      </c>
    </row>
    <row r="43" spans="1:11">
      <c r="A43" s="80">
        <f t="shared" si="3"/>
        <v>38</v>
      </c>
      <c r="B43" s="11"/>
      <c r="C43" s="12" t="s">
        <v>73</v>
      </c>
      <c r="D43" s="13">
        <v>15838</v>
      </c>
      <c r="E43" s="22">
        <f>4680+132</f>
        <v>4812</v>
      </c>
      <c r="F43" s="14">
        <f t="shared" si="0"/>
        <v>0.30382624068695541</v>
      </c>
      <c r="G43" s="15" t="s">
        <v>74</v>
      </c>
      <c r="H43" s="10" t="s">
        <v>14</v>
      </c>
      <c r="I43" s="10" t="s">
        <v>15</v>
      </c>
      <c r="J43" s="13">
        <f t="shared" si="1"/>
        <v>11026</v>
      </c>
      <c r="K43" s="69">
        <f t="shared" si="2"/>
        <v>0.69617375931304459</v>
      </c>
    </row>
    <row r="44" spans="1:11" ht="87">
      <c r="A44" s="80">
        <f>A43+1</f>
        <v>39</v>
      </c>
      <c r="B44" s="11"/>
      <c r="C44" s="12" t="s">
        <v>75</v>
      </c>
      <c r="D44" s="13">
        <v>10740</v>
      </c>
      <c r="E44" s="22">
        <f>3900+45</f>
        <v>3945</v>
      </c>
      <c r="F44" s="14">
        <f t="shared" si="0"/>
        <v>0.36731843575418993</v>
      </c>
      <c r="G44" s="15" t="s">
        <v>76</v>
      </c>
      <c r="H44" s="10" t="s">
        <v>14</v>
      </c>
      <c r="I44" s="10" t="s">
        <v>15</v>
      </c>
      <c r="J44" s="13">
        <f t="shared" si="1"/>
        <v>6795</v>
      </c>
      <c r="K44" s="69">
        <f t="shared" si="2"/>
        <v>0.63268156424581001</v>
      </c>
    </row>
    <row r="45" spans="1:11" ht="43.5">
      <c r="A45" s="80">
        <f>A44+1</f>
        <v>40</v>
      </c>
      <c r="B45" s="11"/>
      <c r="C45" s="12" t="s">
        <v>77</v>
      </c>
      <c r="D45" s="13">
        <v>99904</v>
      </c>
      <c r="E45" s="22">
        <v>1500</v>
      </c>
      <c r="F45" s="14">
        <f t="shared" si="0"/>
        <v>1.5014413837283792E-2</v>
      </c>
      <c r="G45" s="15" t="s">
        <v>78</v>
      </c>
      <c r="H45" s="10" t="s">
        <v>14</v>
      </c>
      <c r="I45" s="10" t="s">
        <v>15</v>
      </c>
      <c r="J45" s="13">
        <f t="shared" si="1"/>
        <v>98404</v>
      </c>
      <c r="K45" s="69">
        <f t="shared" si="2"/>
        <v>0.98498558616271625</v>
      </c>
    </row>
    <row r="46" spans="1:11" ht="130.5">
      <c r="A46" s="80">
        <f t="shared" si="3"/>
        <v>41</v>
      </c>
      <c r="B46" s="11"/>
      <c r="C46" s="12" t="s">
        <v>79</v>
      </c>
      <c r="D46" s="13">
        <v>25816</v>
      </c>
      <c r="E46" s="13">
        <v>25816</v>
      </c>
      <c r="F46" s="14">
        <f t="shared" si="0"/>
        <v>1</v>
      </c>
      <c r="G46" s="15" t="s">
        <v>80</v>
      </c>
      <c r="H46" s="10" t="s">
        <v>14</v>
      </c>
      <c r="I46" s="10" t="s">
        <v>15</v>
      </c>
      <c r="J46" s="13">
        <f t="shared" si="1"/>
        <v>0</v>
      </c>
      <c r="K46" s="69">
        <f t="shared" si="2"/>
        <v>0</v>
      </c>
    </row>
    <row r="47" spans="1:11" ht="195.75">
      <c r="A47" s="80">
        <f t="shared" si="3"/>
        <v>42</v>
      </c>
      <c r="B47" s="11"/>
      <c r="C47" s="12" t="s">
        <v>81</v>
      </c>
      <c r="D47" s="60">
        <v>14809</v>
      </c>
      <c r="E47" s="59">
        <v>6307</v>
      </c>
      <c r="F47" s="14">
        <f t="shared" si="0"/>
        <v>0.42588966169221421</v>
      </c>
      <c r="G47" s="15" t="s">
        <v>82</v>
      </c>
      <c r="H47" s="10" t="s">
        <v>14</v>
      </c>
      <c r="I47" s="10" t="s">
        <v>15</v>
      </c>
      <c r="J47" s="13">
        <f t="shared" si="1"/>
        <v>8502</v>
      </c>
      <c r="K47" s="69">
        <f t="shared" si="2"/>
        <v>0.57411033830778579</v>
      </c>
    </row>
    <row r="48" spans="1:11" ht="43.5">
      <c r="A48" s="80">
        <f t="shared" si="3"/>
        <v>43</v>
      </c>
      <c r="B48" s="34">
        <v>10</v>
      </c>
      <c r="C48" s="12" t="s">
        <v>83</v>
      </c>
      <c r="D48" s="13">
        <v>723691</v>
      </c>
      <c r="E48" s="22">
        <f>25370+320000</f>
        <v>345370</v>
      </c>
      <c r="F48" s="14">
        <f t="shared" si="0"/>
        <v>0.4772340681312881</v>
      </c>
      <c r="G48" s="15" t="s">
        <v>84</v>
      </c>
      <c r="H48" s="10" t="s">
        <v>14</v>
      </c>
      <c r="I48" s="10" t="s">
        <v>15</v>
      </c>
      <c r="J48" s="13">
        <f t="shared" si="1"/>
        <v>378321</v>
      </c>
      <c r="K48" s="69">
        <f t="shared" si="2"/>
        <v>0.5227659318687119</v>
      </c>
    </row>
    <row r="49" spans="1:11" ht="87">
      <c r="A49" s="80">
        <f t="shared" si="3"/>
        <v>44</v>
      </c>
      <c r="B49" s="11"/>
      <c r="C49" s="12" t="s">
        <v>85</v>
      </c>
      <c r="D49" s="60">
        <v>66562</v>
      </c>
      <c r="E49" s="59">
        <f>10113+17696</f>
        <v>27809</v>
      </c>
      <c r="F49" s="14">
        <f t="shared" si="0"/>
        <v>0.41779093176286769</v>
      </c>
      <c r="G49" s="15" t="s">
        <v>86</v>
      </c>
      <c r="H49" s="10" t="s">
        <v>14</v>
      </c>
      <c r="I49" s="10" t="s">
        <v>14</v>
      </c>
      <c r="J49" s="13">
        <f t="shared" si="1"/>
        <v>38753</v>
      </c>
      <c r="K49" s="69">
        <f t="shared" si="2"/>
        <v>0.58220906823713225</v>
      </c>
    </row>
    <row r="50" spans="1:11">
      <c r="A50" s="80">
        <f t="shared" si="3"/>
        <v>45</v>
      </c>
      <c r="B50" s="11"/>
      <c r="C50" s="12" t="s">
        <v>87</v>
      </c>
      <c r="D50" s="13">
        <v>45294</v>
      </c>
      <c r="E50" s="22">
        <v>15793</v>
      </c>
      <c r="F50" s="14">
        <f t="shared" si="0"/>
        <v>0.34867752903254295</v>
      </c>
      <c r="G50" s="15" t="s">
        <v>88</v>
      </c>
      <c r="H50" s="10" t="s">
        <v>14</v>
      </c>
      <c r="I50" s="10" t="s">
        <v>15</v>
      </c>
      <c r="J50" s="13">
        <f t="shared" si="1"/>
        <v>29501</v>
      </c>
      <c r="K50" s="69">
        <f t="shared" si="2"/>
        <v>0.6513224709674571</v>
      </c>
    </row>
    <row r="51" spans="1:11">
      <c r="A51" s="80">
        <f t="shared" si="3"/>
        <v>46</v>
      </c>
      <c r="B51" s="11"/>
      <c r="C51" s="12" t="s">
        <v>89</v>
      </c>
      <c r="D51" s="13">
        <v>30101</v>
      </c>
      <c r="E51" s="22">
        <v>19043</v>
      </c>
      <c r="F51" s="14">
        <f t="shared" si="0"/>
        <v>0.63263678947543267</v>
      </c>
      <c r="G51" s="15" t="s">
        <v>90</v>
      </c>
      <c r="H51" s="10" t="s">
        <v>14</v>
      </c>
      <c r="I51" s="10" t="s">
        <v>15</v>
      </c>
      <c r="J51" s="13">
        <f t="shared" si="1"/>
        <v>11058</v>
      </c>
      <c r="K51" s="69">
        <f t="shared" si="2"/>
        <v>0.36736321052456727</v>
      </c>
    </row>
    <row r="52" spans="1:11" ht="43.5">
      <c r="A52" s="80">
        <f t="shared" si="3"/>
        <v>47</v>
      </c>
      <c r="B52" s="11"/>
      <c r="C52" s="12" t="s">
        <v>91</v>
      </c>
      <c r="D52" s="60">
        <v>29662</v>
      </c>
      <c r="E52" s="59">
        <v>23412</v>
      </c>
      <c r="F52" s="14">
        <f t="shared" si="0"/>
        <v>0.78929269772773247</v>
      </c>
      <c r="G52" s="15" t="s">
        <v>92</v>
      </c>
      <c r="H52" s="10" t="s">
        <v>14</v>
      </c>
      <c r="I52" s="10" t="s">
        <v>15</v>
      </c>
      <c r="J52" s="13">
        <f t="shared" si="1"/>
        <v>6250</v>
      </c>
      <c r="K52" s="69">
        <f t="shared" si="2"/>
        <v>0.21070730227226755</v>
      </c>
    </row>
    <row r="53" spans="1:11">
      <c r="A53" s="80">
        <f t="shared" si="3"/>
        <v>48</v>
      </c>
      <c r="B53" s="34">
        <v>11</v>
      </c>
      <c r="C53" s="12" t="s">
        <v>93</v>
      </c>
      <c r="D53" s="22">
        <v>760825</v>
      </c>
      <c r="E53" s="22">
        <v>237661</v>
      </c>
      <c r="F53" s="14">
        <f t="shared" si="0"/>
        <v>0.31237275326126246</v>
      </c>
      <c r="G53" s="24" t="s">
        <v>94</v>
      </c>
      <c r="H53" s="25" t="s">
        <v>14</v>
      </c>
      <c r="I53" s="25" t="s">
        <v>15</v>
      </c>
      <c r="J53" s="13">
        <f t="shared" si="1"/>
        <v>523164</v>
      </c>
      <c r="K53" s="69">
        <f t="shared" si="2"/>
        <v>0.68762724673873754</v>
      </c>
    </row>
    <row r="54" spans="1:11">
      <c r="A54" s="80">
        <f t="shared" si="3"/>
        <v>49</v>
      </c>
      <c r="B54" s="11"/>
      <c r="C54" s="12" t="s">
        <v>95</v>
      </c>
      <c r="D54" s="22">
        <v>72463</v>
      </c>
      <c r="E54" s="22">
        <v>59924</v>
      </c>
      <c r="F54" s="14">
        <f t="shared" si="0"/>
        <v>0.82695996577563724</v>
      </c>
      <c r="G54" s="24" t="s">
        <v>94</v>
      </c>
      <c r="H54" s="25" t="s">
        <v>14</v>
      </c>
      <c r="I54" s="25" t="s">
        <v>15</v>
      </c>
      <c r="J54" s="13">
        <f t="shared" si="1"/>
        <v>12539</v>
      </c>
      <c r="K54" s="69">
        <f t="shared" si="2"/>
        <v>0.17304003422436279</v>
      </c>
    </row>
    <row r="55" spans="1:11">
      <c r="A55" s="80">
        <f t="shared" si="3"/>
        <v>50</v>
      </c>
      <c r="B55" s="11"/>
      <c r="C55" s="12" t="s">
        <v>96</v>
      </c>
      <c r="D55" s="22">
        <v>124736</v>
      </c>
      <c r="E55" s="22">
        <v>66863</v>
      </c>
      <c r="F55" s="14">
        <f t="shared" si="0"/>
        <v>0.53603610826064652</v>
      </c>
      <c r="G55" s="24" t="s">
        <v>94</v>
      </c>
      <c r="H55" s="25" t="s">
        <v>14</v>
      </c>
      <c r="I55" s="25" t="s">
        <v>15</v>
      </c>
      <c r="J55" s="13">
        <f t="shared" si="1"/>
        <v>57873</v>
      </c>
      <c r="K55" s="69">
        <f t="shared" si="2"/>
        <v>0.46396389173935354</v>
      </c>
    </row>
    <row r="56" spans="1:11">
      <c r="A56" s="80">
        <f t="shared" si="3"/>
        <v>51</v>
      </c>
      <c r="B56" s="11"/>
      <c r="C56" s="12" t="s">
        <v>97</v>
      </c>
      <c r="D56" s="22">
        <v>117784</v>
      </c>
      <c r="E56" s="22">
        <v>49560</v>
      </c>
      <c r="F56" s="14">
        <f t="shared" si="0"/>
        <v>0.42077022345989268</v>
      </c>
      <c r="G56" s="24" t="s">
        <v>94</v>
      </c>
      <c r="H56" s="25" t="s">
        <v>14</v>
      </c>
      <c r="I56" s="25" t="s">
        <v>15</v>
      </c>
      <c r="J56" s="13">
        <f t="shared" si="1"/>
        <v>68224</v>
      </c>
      <c r="K56" s="69">
        <f t="shared" si="2"/>
        <v>0.57922977654010732</v>
      </c>
    </row>
    <row r="57" spans="1:11" s="52" customFormat="1" ht="174">
      <c r="A57" s="83">
        <f t="shared" si="3"/>
        <v>52</v>
      </c>
      <c r="B57" s="28">
        <v>12</v>
      </c>
      <c r="C57" s="84" t="s">
        <v>98</v>
      </c>
      <c r="D57" s="59">
        <v>123705.60000000001</v>
      </c>
      <c r="E57" s="59">
        <v>59260.000000000007</v>
      </c>
      <c r="F57" s="26">
        <f t="shared" si="0"/>
        <v>0.47904056081535518</v>
      </c>
      <c r="G57" s="163" t="s">
        <v>99</v>
      </c>
      <c r="H57" s="25" t="s">
        <v>14</v>
      </c>
      <c r="I57" s="25" t="s">
        <v>15</v>
      </c>
      <c r="J57" s="22">
        <f>D57-E57</f>
        <v>64445.599999999999</v>
      </c>
      <c r="K57" s="69">
        <f t="shared" si="2"/>
        <v>0.52095943918464482</v>
      </c>
    </row>
    <row r="58" spans="1:11" ht="87">
      <c r="A58" s="80">
        <f>A57+1</f>
        <v>53</v>
      </c>
      <c r="B58" s="11"/>
      <c r="C58" s="12" t="s">
        <v>100</v>
      </c>
      <c r="D58" s="60">
        <v>44827.5</v>
      </c>
      <c r="E58" s="59">
        <v>694</v>
      </c>
      <c r="F58" s="14">
        <f t="shared" si="0"/>
        <v>1.5481568233785065E-2</v>
      </c>
      <c r="G58" s="15" t="s">
        <v>101</v>
      </c>
      <c r="H58" s="10" t="s">
        <v>14</v>
      </c>
      <c r="I58" s="10" t="s">
        <v>14</v>
      </c>
      <c r="J58" s="13">
        <f>D58-E58</f>
        <v>44133.5</v>
      </c>
      <c r="K58" s="69">
        <f t="shared" si="2"/>
        <v>0.9845184317662149</v>
      </c>
    </row>
    <row r="59" spans="1:11" ht="87">
      <c r="A59" s="80">
        <f t="shared" si="3"/>
        <v>54</v>
      </c>
      <c r="B59" s="11"/>
      <c r="C59" s="12" t="s">
        <v>103</v>
      </c>
      <c r="D59" s="60">
        <v>80505.649999999994</v>
      </c>
      <c r="E59" s="59">
        <v>2434</v>
      </c>
      <c r="F59" s="14">
        <f t="shared" si="0"/>
        <v>3.0233902837875356E-2</v>
      </c>
      <c r="G59" s="15" t="s">
        <v>104</v>
      </c>
      <c r="H59" s="10" t="s">
        <v>14</v>
      </c>
      <c r="I59" s="10" t="s">
        <v>15</v>
      </c>
      <c r="J59" s="13">
        <f t="shared" ref="J59:J81" si="4">D59-E59</f>
        <v>78071.649999999994</v>
      </c>
      <c r="K59" s="69">
        <f t="shared" si="2"/>
        <v>0.9697660971621247</v>
      </c>
    </row>
    <row r="60" spans="1:11" ht="152.25">
      <c r="A60" s="80">
        <f t="shared" si="3"/>
        <v>55</v>
      </c>
      <c r="B60" s="11"/>
      <c r="C60" s="12" t="s">
        <v>106</v>
      </c>
      <c r="D60" s="60">
        <v>38301</v>
      </c>
      <c r="E60" s="59">
        <f>520+25586.5</f>
        <v>26106.5</v>
      </c>
      <c r="F60" s="14">
        <f t="shared" si="0"/>
        <v>0.68161405707422784</v>
      </c>
      <c r="G60" s="15" t="s">
        <v>162</v>
      </c>
      <c r="H60" s="10"/>
      <c r="I60" s="10"/>
      <c r="J60" s="13">
        <f t="shared" si="4"/>
        <v>12194.5</v>
      </c>
      <c r="K60" s="69">
        <f t="shared" si="2"/>
        <v>0.31838594292577216</v>
      </c>
    </row>
    <row r="61" spans="1:11" ht="87">
      <c r="A61" s="80">
        <f>A60+1</f>
        <v>56</v>
      </c>
      <c r="B61" s="11"/>
      <c r="C61" s="12" t="s">
        <v>108</v>
      </c>
      <c r="D61" s="60">
        <v>217656</v>
      </c>
      <c r="E61" s="59">
        <v>46080</v>
      </c>
      <c r="F61" s="14">
        <f t="shared" si="0"/>
        <v>0.21171022163413827</v>
      </c>
      <c r="G61" s="15" t="s">
        <v>109</v>
      </c>
      <c r="H61" s="10" t="s">
        <v>14</v>
      </c>
      <c r="I61" s="10" t="s">
        <v>14</v>
      </c>
      <c r="J61" s="13">
        <f t="shared" si="4"/>
        <v>171576</v>
      </c>
      <c r="K61" s="69">
        <f t="shared" si="2"/>
        <v>0.78828977836586178</v>
      </c>
    </row>
    <row r="62" spans="1:11">
      <c r="A62" s="80">
        <f t="shared" si="3"/>
        <v>57</v>
      </c>
      <c r="B62" s="34">
        <v>13</v>
      </c>
      <c r="C62" s="12" t="s">
        <v>111</v>
      </c>
      <c r="D62" s="13">
        <v>4300049</v>
      </c>
      <c r="E62" s="22">
        <v>3985279</v>
      </c>
      <c r="F62" s="14">
        <f t="shared" si="0"/>
        <v>0.92679850857513479</v>
      </c>
      <c r="G62" s="15" t="s">
        <v>112</v>
      </c>
      <c r="H62" s="10" t="s">
        <v>14</v>
      </c>
      <c r="I62" s="10" t="s">
        <v>15</v>
      </c>
      <c r="J62" s="13">
        <f t="shared" si="4"/>
        <v>314770</v>
      </c>
      <c r="K62" s="69">
        <f t="shared" si="2"/>
        <v>7.3201491424865164E-2</v>
      </c>
    </row>
    <row r="63" spans="1:11">
      <c r="A63" s="80">
        <f t="shared" si="3"/>
        <v>58</v>
      </c>
      <c r="B63" s="11"/>
      <c r="C63" s="12" t="s">
        <v>113</v>
      </c>
      <c r="D63" s="13">
        <v>39240</v>
      </c>
      <c r="E63" s="22">
        <f>3600+1850</f>
        <v>5450</v>
      </c>
      <c r="F63" s="14">
        <f t="shared" si="0"/>
        <v>0.1388888888888889</v>
      </c>
      <c r="G63" s="15" t="s">
        <v>114</v>
      </c>
      <c r="H63" s="10" t="s">
        <v>15</v>
      </c>
      <c r="I63" s="10" t="s">
        <v>14</v>
      </c>
      <c r="J63" s="13">
        <f t="shared" si="4"/>
        <v>33790</v>
      </c>
      <c r="K63" s="69">
        <f t="shared" si="2"/>
        <v>0.86111111111111116</v>
      </c>
    </row>
    <row r="64" spans="1:11">
      <c r="A64" s="80">
        <f t="shared" si="3"/>
        <v>59</v>
      </c>
      <c r="B64" s="11"/>
      <c r="C64" s="12" t="s">
        <v>115</v>
      </c>
      <c r="D64" s="13">
        <v>82947</v>
      </c>
      <c r="E64" s="22">
        <v>4500</v>
      </c>
      <c r="F64" s="14">
        <f t="shared" si="0"/>
        <v>5.4251510000361679E-2</v>
      </c>
      <c r="G64" s="15" t="s">
        <v>116</v>
      </c>
      <c r="H64" s="25" t="s">
        <v>14</v>
      </c>
      <c r="I64" s="10" t="s">
        <v>15</v>
      </c>
      <c r="J64" s="13">
        <f t="shared" si="4"/>
        <v>78447</v>
      </c>
      <c r="K64" s="69">
        <f t="shared" si="2"/>
        <v>0.94574848999963834</v>
      </c>
    </row>
    <row r="65" spans="1:11">
      <c r="A65" s="80">
        <f>A64+1</f>
        <v>60</v>
      </c>
      <c r="B65" s="11"/>
      <c r="C65" s="12" t="s">
        <v>117</v>
      </c>
      <c r="D65" s="13">
        <v>83415</v>
      </c>
      <c r="E65" s="22">
        <v>0</v>
      </c>
      <c r="F65" s="14">
        <f t="shared" si="0"/>
        <v>0</v>
      </c>
      <c r="G65" s="10" t="s">
        <v>15</v>
      </c>
      <c r="H65" s="10" t="s">
        <v>15</v>
      </c>
      <c r="I65" s="10" t="s">
        <v>15</v>
      </c>
      <c r="J65" s="13">
        <f t="shared" si="4"/>
        <v>83415</v>
      </c>
      <c r="K65" s="69">
        <f t="shared" si="2"/>
        <v>1</v>
      </c>
    </row>
    <row r="66" spans="1:11" ht="108.75">
      <c r="A66" s="80">
        <f t="shared" ref="A66:A81" si="5">A65+1</f>
        <v>61</v>
      </c>
      <c r="B66" s="11"/>
      <c r="C66" s="12" t="s">
        <v>118</v>
      </c>
      <c r="D66" s="60">
        <v>305000</v>
      </c>
      <c r="E66" s="59">
        <v>43500</v>
      </c>
      <c r="F66" s="14">
        <f t="shared" si="0"/>
        <v>0.14262295081967213</v>
      </c>
      <c r="G66" s="15" t="s">
        <v>119</v>
      </c>
      <c r="H66" s="10" t="s">
        <v>15</v>
      </c>
      <c r="I66" s="10" t="s">
        <v>14</v>
      </c>
      <c r="J66" s="13">
        <f t="shared" si="4"/>
        <v>261500</v>
      </c>
      <c r="K66" s="69">
        <f t="shared" si="2"/>
        <v>0.85737704918032787</v>
      </c>
    </row>
    <row r="67" spans="1:11">
      <c r="A67" s="80">
        <f t="shared" si="5"/>
        <v>62</v>
      </c>
      <c r="B67" s="11"/>
      <c r="C67" s="12" t="s">
        <v>120</v>
      </c>
      <c r="D67" s="13">
        <v>120109</v>
      </c>
      <c r="E67" s="22">
        <f>10982+288</f>
        <v>11270</v>
      </c>
      <c r="F67" s="14">
        <f t="shared" si="0"/>
        <v>9.3831436445228913E-2</v>
      </c>
      <c r="G67" s="15" t="s">
        <v>114</v>
      </c>
      <c r="H67" s="10" t="s">
        <v>14</v>
      </c>
      <c r="I67" s="10" t="s">
        <v>15</v>
      </c>
      <c r="J67" s="13">
        <f t="shared" si="4"/>
        <v>108839</v>
      </c>
      <c r="K67" s="69">
        <f t="shared" si="2"/>
        <v>0.90616856355477104</v>
      </c>
    </row>
    <row r="68" spans="1:11" ht="65.25">
      <c r="A68" s="80">
        <f t="shared" si="5"/>
        <v>63</v>
      </c>
      <c r="B68" s="34">
        <v>14</v>
      </c>
      <c r="C68" s="84" t="s">
        <v>121</v>
      </c>
      <c r="D68" s="59">
        <v>1042846.9</v>
      </c>
      <c r="E68" s="59">
        <v>783258.85000000009</v>
      </c>
      <c r="F68" s="14">
        <f t="shared" si="0"/>
        <v>0.75107750715852928</v>
      </c>
      <c r="G68" s="24" t="s">
        <v>122</v>
      </c>
      <c r="H68" s="25" t="s">
        <v>14</v>
      </c>
      <c r="I68" s="25" t="s">
        <v>14</v>
      </c>
      <c r="J68" s="13">
        <f t="shared" si="4"/>
        <v>259588.04999999993</v>
      </c>
      <c r="K68" s="69">
        <f t="shared" si="2"/>
        <v>0.24892249284147072</v>
      </c>
    </row>
    <row r="69" spans="1:11" ht="65.25">
      <c r="A69" s="80">
        <f t="shared" si="5"/>
        <v>64</v>
      </c>
      <c r="B69" s="11"/>
      <c r="C69" s="84" t="s">
        <v>123</v>
      </c>
      <c r="D69" s="59">
        <v>200358.75</v>
      </c>
      <c r="E69" s="59">
        <v>96690</v>
      </c>
      <c r="F69" s="14">
        <f t="shared" si="0"/>
        <v>0.48258436429654306</v>
      </c>
      <c r="G69" s="24" t="s">
        <v>122</v>
      </c>
      <c r="H69" s="25" t="s">
        <v>14</v>
      </c>
      <c r="I69" s="25" t="s">
        <v>15</v>
      </c>
      <c r="J69" s="13">
        <f t="shared" si="4"/>
        <v>103668.75</v>
      </c>
      <c r="K69" s="69">
        <f t="shared" si="2"/>
        <v>0.51741563570345694</v>
      </c>
    </row>
    <row r="70" spans="1:11" ht="65.25">
      <c r="A70" s="80">
        <f t="shared" si="5"/>
        <v>65</v>
      </c>
      <c r="B70" s="11"/>
      <c r="C70" s="84" t="s">
        <v>124</v>
      </c>
      <c r="D70" s="59">
        <v>1191719.25</v>
      </c>
      <c r="E70" s="59">
        <v>200121</v>
      </c>
      <c r="F70" s="14">
        <f t="shared" si="0"/>
        <v>0.16792629639908896</v>
      </c>
      <c r="G70" s="24" t="s">
        <v>122</v>
      </c>
      <c r="H70" s="25" t="s">
        <v>14</v>
      </c>
      <c r="I70" s="25" t="s">
        <v>15</v>
      </c>
      <c r="J70" s="13">
        <f t="shared" si="4"/>
        <v>991598.25</v>
      </c>
      <c r="K70" s="69">
        <f t="shared" si="2"/>
        <v>0.83207370360091104</v>
      </c>
    </row>
    <row r="71" spans="1:11">
      <c r="A71" s="80">
        <f t="shared" si="5"/>
        <v>66</v>
      </c>
      <c r="B71" s="11"/>
      <c r="C71" s="84" t="s">
        <v>125</v>
      </c>
      <c r="D71" s="22">
        <v>296992.2</v>
      </c>
      <c r="E71" s="22">
        <v>270988.79999999999</v>
      </c>
      <c r="F71" s="14">
        <f t="shared" ref="F71:F81" si="6">E71/D71</f>
        <v>0.91244416520029814</v>
      </c>
      <c r="G71" s="24" t="s">
        <v>126</v>
      </c>
      <c r="H71" s="25" t="s">
        <v>14</v>
      </c>
      <c r="I71" s="25" t="s">
        <v>15</v>
      </c>
      <c r="J71" s="13">
        <f t="shared" si="4"/>
        <v>26003.400000000023</v>
      </c>
      <c r="K71" s="69">
        <f t="shared" ref="K71:K81" si="7">J71/D71</f>
        <v>8.7555834799701887E-2</v>
      </c>
    </row>
    <row r="72" spans="1:11">
      <c r="A72" s="80">
        <f t="shared" si="5"/>
        <v>67</v>
      </c>
      <c r="B72" s="34">
        <v>15</v>
      </c>
      <c r="C72" s="12" t="s">
        <v>127</v>
      </c>
      <c r="D72" s="38" t="s">
        <v>15</v>
      </c>
      <c r="E72" s="38" t="s">
        <v>15</v>
      </c>
      <c r="F72" s="38" t="s">
        <v>15</v>
      </c>
      <c r="G72" s="62" t="s">
        <v>15</v>
      </c>
      <c r="H72" s="62" t="s">
        <v>15</v>
      </c>
      <c r="I72" s="62" t="s">
        <v>15</v>
      </c>
      <c r="J72" s="38" t="s">
        <v>15</v>
      </c>
      <c r="K72" s="38" t="s">
        <v>15</v>
      </c>
    </row>
    <row r="73" spans="1:11" ht="108.75">
      <c r="A73" s="80">
        <f t="shared" si="5"/>
        <v>68</v>
      </c>
      <c r="B73" s="11"/>
      <c r="C73" s="12" t="s">
        <v>128</v>
      </c>
      <c r="D73" s="38">
        <v>212719</v>
      </c>
      <c r="E73" s="38">
        <f>96000+108000</f>
        <v>204000</v>
      </c>
      <c r="F73" s="14">
        <f t="shared" si="6"/>
        <v>0.9590116538720096</v>
      </c>
      <c r="G73" s="63" t="s">
        <v>129</v>
      </c>
      <c r="H73" s="25" t="s">
        <v>14</v>
      </c>
      <c r="I73" s="25"/>
      <c r="J73" s="13">
        <f t="shared" si="4"/>
        <v>8719</v>
      </c>
      <c r="K73" s="69">
        <f t="shared" si="7"/>
        <v>4.0988346127990447E-2</v>
      </c>
    </row>
    <row r="74" spans="1:11" ht="87">
      <c r="A74" s="80">
        <f>A73+1</f>
        <v>69</v>
      </c>
      <c r="B74" s="11"/>
      <c r="C74" s="12" t="s">
        <v>130</v>
      </c>
      <c r="D74" s="38">
        <v>179363</v>
      </c>
      <c r="E74" s="38">
        <v>78846</v>
      </c>
      <c r="F74" s="14">
        <f t="shared" si="6"/>
        <v>0.43958898992545842</v>
      </c>
      <c r="G74" s="24" t="s">
        <v>131</v>
      </c>
      <c r="H74" s="25" t="s">
        <v>14</v>
      </c>
      <c r="I74" s="25"/>
      <c r="J74" s="13">
        <f t="shared" si="4"/>
        <v>100517</v>
      </c>
      <c r="K74" s="69">
        <f t="shared" si="7"/>
        <v>0.56041101007454153</v>
      </c>
    </row>
    <row r="75" spans="1:11" ht="65.25">
      <c r="A75" s="80">
        <f t="shared" si="5"/>
        <v>70</v>
      </c>
      <c r="B75" s="11"/>
      <c r="C75" s="12" t="s">
        <v>132</v>
      </c>
      <c r="D75" s="38">
        <v>24894</v>
      </c>
      <c r="E75" s="38">
        <v>11655</v>
      </c>
      <c r="F75" s="14">
        <f t="shared" si="6"/>
        <v>0.46818510484454084</v>
      </c>
      <c r="G75" s="24" t="s">
        <v>133</v>
      </c>
      <c r="H75" s="25" t="s">
        <v>14</v>
      </c>
      <c r="I75" s="25" t="s">
        <v>14</v>
      </c>
      <c r="J75" s="13">
        <f t="shared" si="4"/>
        <v>13239</v>
      </c>
      <c r="K75" s="69">
        <f t="shared" si="7"/>
        <v>0.5318148951554591</v>
      </c>
    </row>
    <row r="76" spans="1:11" ht="326.25">
      <c r="A76" s="80">
        <f t="shared" si="5"/>
        <v>71</v>
      </c>
      <c r="B76" s="11"/>
      <c r="C76" s="12" t="s">
        <v>134</v>
      </c>
      <c r="D76" s="38">
        <v>245819</v>
      </c>
      <c r="E76" s="38">
        <v>8269</v>
      </c>
      <c r="F76" s="14">
        <f t="shared" si="6"/>
        <v>3.3638571469251768E-2</v>
      </c>
      <c r="G76" s="24" t="s">
        <v>135</v>
      </c>
      <c r="H76" s="25" t="s">
        <v>14</v>
      </c>
      <c r="I76" s="25"/>
      <c r="J76" s="13">
        <f t="shared" si="4"/>
        <v>237550</v>
      </c>
      <c r="K76" s="69">
        <f t="shared" si="7"/>
        <v>0.96636142853074825</v>
      </c>
    </row>
    <row r="77" spans="1:11" ht="130.5">
      <c r="A77" s="80">
        <f>A76+1</f>
        <v>72</v>
      </c>
      <c r="B77" s="34">
        <v>16</v>
      </c>
      <c r="C77" s="12" t="s">
        <v>136</v>
      </c>
      <c r="D77" s="60">
        <v>2471840</v>
      </c>
      <c r="E77" s="59">
        <f>2370895+5156.74</f>
        <v>2376051.7400000002</v>
      </c>
      <c r="F77" s="14">
        <f t="shared" si="6"/>
        <v>0.96124819567609565</v>
      </c>
      <c r="G77" s="15" t="s">
        <v>163</v>
      </c>
      <c r="H77" s="10" t="s">
        <v>14</v>
      </c>
      <c r="I77" s="10" t="s">
        <v>14</v>
      </c>
      <c r="J77" s="13">
        <f t="shared" si="4"/>
        <v>95788.259999999776</v>
      </c>
      <c r="K77" s="69">
        <f t="shared" si="7"/>
        <v>3.8751804323904369E-2</v>
      </c>
    </row>
    <row r="78" spans="1:11">
      <c r="A78" s="80">
        <f t="shared" si="5"/>
        <v>73</v>
      </c>
      <c r="B78" s="11"/>
      <c r="C78" s="12" t="s">
        <v>137</v>
      </c>
      <c r="D78" s="13">
        <v>79096</v>
      </c>
      <c r="E78" s="22">
        <v>25356.400000000001</v>
      </c>
      <c r="F78" s="14">
        <f t="shared" si="6"/>
        <v>0.32057752604430062</v>
      </c>
      <c r="G78" s="24" t="s">
        <v>138</v>
      </c>
      <c r="H78" s="25" t="s">
        <v>14</v>
      </c>
      <c r="I78" s="25" t="s">
        <v>15</v>
      </c>
      <c r="J78" s="13">
        <f t="shared" si="4"/>
        <v>53739.6</v>
      </c>
      <c r="K78" s="69">
        <f t="shared" si="7"/>
        <v>0.67942247395569944</v>
      </c>
    </row>
    <row r="79" spans="1:11" ht="65.25">
      <c r="A79" s="80">
        <f t="shared" si="5"/>
        <v>74</v>
      </c>
      <c r="B79" s="11"/>
      <c r="C79" s="12" t="s">
        <v>139</v>
      </c>
      <c r="D79" s="60">
        <v>201001</v>
      </c>
      <c r="E79" s="59">
        <v>198809</v>
      </c>
      <c r="F79" s="14">
        <f t="shared" si="6"/>
        <v>0.98909458161899688</v>
      </c>
      <c r="G79" s="24" t="s">
        <v>140</v>
      </c>
      <c r="H79" s="25" t="s">
        <v>14</v>
      </c>
      <c r="I79" s="25" t="s">
        <v>15</v>
      </c>
      <c r="J79" s="13">
        <f t="shared" si="4"/>
        <v>2192</v>
      </c>
      <c r="K79" s="69">
        <f t="shared" si="7"/>
        <v>1.090541838100308E-2</v>
      </c>
    </row>
    <row r="80" spans="1:11">
      <c r="A80" s="80">
        <f t="shared" si="5"/>
        <v>75</v>
      </c>
      <c r="B80" s="11"/>
      <c r="C80" s="12" t="s">
        <v>141</v>
      </c>
      <c r="D80" s="13">
        <v>67158</v>
      </c>
      <c r="E80" s="22">
        <v>35349</v>
      </c>
      <c r="F80" s="14">
        <f t="shared" si="6"/>
        <v>0.52635575806307511</v>
      </c>
      <c r="G80" s="24" t="s">
        <v>138</v>
      </c>
      <c r="H80" s="25" t="s">
        <v>14</v>
      </c>
      <c r="I80" s="25" t="s">
        <v>15</v>
      </c>
      <c r="J80" s="13">
        <f t="shared" si="4"/>
        <v>31809</v>
      </c>
      <c r="K80" s="69">
        <f t="shared" si="7"/>
        <v>0.47364424193692484</v>
      </c>
    </row>
    <row r="81" spans="1:12" s="52" customFormat="1" ht="65.25">
      <c r="A81" s="83">
        <f t="shared" si="5"/>
        <v>76</v>
      </c>
      <c r="B81" s="37"/>
      <c r="C81" s="84" t="s">
        <v>142</v>
      </c>
      <c r="D81" s="59">
        <v>114002</v>
      </c>
      <c r="E81" s="59">
        <v>46903.66</v>
      </c>
      <c r="F81" s="26">
        <f t="shared" si="6"/>
        <v>0.41142839599305281</v>
      </c>
      <c r="G81" s="24" t="s">
        <v>143</v>
      </c>
      <c r="H81" s="25" t="s">
        <v>14</v>
      </c>
      <c r="I81" s="25" t="s">
        <v>14</v>
      </c>
      <c r="J81" s="22">
        <f t="shared" si="4"/>
        <v>67098.34</v>
      </c>
      <c r="K81" s="23">
        <f t="shared" si="7"/>
        <v>0.58857160400694719</v>
      </c>
    </row>
    <row r="82" spans="1:12">
      <c r="A82" s="54"/>
      <c r="B82" s="70"/>
      <c r="C82" s="64" t="s">
        <v>144</v>
      </c>
      <c r="D82" s="65">
        <f>SUM(D6:D81)</f>
        <v>30588291.929999996</v>
      </c>
      <c r="E82" s="78">
        <f>SUM(E6:E81)</f>
        <v>21570824.600000005</v>
      </c>
      <c r="F82" s="67">
        <f>E82/D82</f>
        <v>0.7051987292838684</v>
      </c>
      <c r="G82" s="66"/>
      <c r="H82" s="66"/>
      <c r="I82" s="66"/>
      <c r="J82" s="76">
        <f>SUM(J6:J81)</f>
        <v>9017467.3299999982</v>
      </c>
      <c r="K82" s="77">
        <f>J82/D82</f>
        <v>0.29480127071613177</v>
      </c>
    </row>
    <row r="83" spans="1:12" s="52" customFormat="1">
      <c r="A83" s="101"/>
      <c r="B83" s="101"/>
      <c r="C83" s="102"/>
      <c r="D83" s="103"/>
      <c r="E83" s="104"/>
      <c r="F83" s="105"/>
      <c r="G83" s="103"/>
      <c r="H83" s="103"/>
      <c r="I83" s="103"/>
      <c r="J83" s="103"/>
      <c r="K83" s="106"/>
    </row>
    <row r="84" spans="1:12">
      <c r="A84" s="165" t="s">
        <v>238</v>
      </c>
      <c r="B84" s="166"/>
      <c r="D84" s="6"/>
      <c r="E84" s="9"/>
      <c r="G84" s="173">
        <v>240728</v>
      </c>
      <c r="H84" s="41"/>
      <c r="J84" s="173"/>
      <c r="K84" s="9"/>
      <c r="L84" s="73"/>
    </row>
    <row r="85" spans="1:12">
      <c r="B85" s="41" t="s">
        <v>241</v>
      </c>
      <c r="D85" s="6"/>
      <c r="E85" s="6"/>
      <c r="F85" s="6"/>
      <c r="G85" s="46">
        <f>D82</f>
        <v>30588291.929999996</v>
      </c>
      <c r="H85" s="46" t="s">
        <v>239</v>
      </c>
      <c r="I85" s="9"/>
      <c r="J85" s="7"/>
      <c r="K85" s="9"/>
      <c r="L85" s="73"/>
    </row>
    <row r="86" spans="1:12">
      <c r="B86" s="41" t="s">
        <v>240</v>
      </c>
      <c r="D86" s="6"/>
      <c r="E86" s="6"/>
      <c r="F86" s="6"/>
      <c r="G86" s="46">
        <f>E82</f>
        <v>21570824.600000005</v>
      </c>
      <c r="H86" s="167" t="s">
        <v>239</v>
      </c>
      <c r="I86" s="168">
        <f>G86/G85</f>
        <v>0.7051987292838684</v>
      </c>
      <c r="J86" s="170"/>
      <c r="K86" s="171"/>
      <c r="L86" s="73"/>
    </row>
    <row r="87" spans="1:12">
      <c r="B87" s="41" t="s">
        <v>242</v>
      </c>
      <c r="D87" s="6"/>
      <c r="E87" s="6"/>
      <c r="F87" s="6"/>
      <c r="G87" s="46">
        <f>J82</f>
        <v>9017467.3299999982</v>
      </c>
      <c r="H87" s="167" t="s">
        <v>239</v>
      </c>
      <c r="I87" s="168">
        <f>G87/G85</f>
        <v>0.29480127071613177</v>
      </c>
      <c r="J87" s="170"/>
      <c r="K87" s="9"/>
      <c r="L87" s="73"/>
    </row>
    <row r="88" spans="1:12" s="52" customFormat="1">
      <c r="A88" s="101"/>
      <c r="B88" s="101"/>
      <c r="C88" s="102"/>
      <c r="D88" s="103"/>
      <c r="E88" s="104"/>
      <c r="F88" s="105"/>
      <c r="G88" s="103"/>
      <c r="H88" s="103"/>
      <c r="I88" s="103"/>
      <c r="J88" s="103"/>
      <c r="K88" s="106"/>
    </row>
    <row r="89" spans="1:12" s="52" customFormat="1">
      <c r="A89" s="101"/>
      <c r="B89" s="101"/>
      <c r="C89" s="102"/>
      <c r="D89" s="103"/>
      <c r="E89" s="104"/>
      <c r="F89" s="105"/>
      <c r="G89" s="103"/>
      <c r="H89" s="103"/>
      <c r="I89" s="103"/>
      <c r="J89" s="103"/>
      <c r="K89" s="106"/>
    </row>
    <row r="90" spans="1:12" s="52" customFormat="1">
      <c r="A90" s="101"/>
      <c r="B90" s="101"/>
      <c r="C90" s="102"/>
      <c r="D90" s="103"/>
      <c r="E90" s="104"/>
      <c r="F90" s="105"/>
      <c r="G90" s="103"/>
      <c r="H90" s="103"/>
      <c r="I90" s="103"/>
      <c r="J90" s="103"/>
      <c r="K90" s="106"/>
    </row>
    <row r="92" spans="1:12" s="88" customFormat="1" ht="18.75">
      <c r="A92" s="86" t="s">
        <v>145</v>
      </c>
      <c r="B92" s="87"/>
      <c r="D92" s="89"/>
      <c r="E92" s="90"/>
      <c r="F92" s="89"/>
      <c r="G92" s="91"/>
      <c r="H92" s="87"/>
      <c r="I92" s="87"/>
      <c r="J92" s="89"/>
    </row>
    <row r="93" spans="1:12" s="91" customFormat="1" ht="18.75">
      <c r="A93" s="91" t="s">
        <v>146</v>
      </c>
      <c r="D93" s="92"/>
      <c r="E93" s="93"/>
      <c r="F93" s="92"/>
      <c r="J93" s="92"/>
    </row>
    <row r="94" spans="1:12" s="91" customFormat="1" ht="18.75">
      <c r="D94" s="92"/>
      <c r="E94" s="93"/>
      <c r="F94" s="92"/>
      <c r="J94" s="92"/>
    </row>
    <row r="95" spans="1:12" s="88" customFormat="1" ht="18.75">
      <c r="A95" s="91" t="s">
        <v>147</v>
      </c>
      <c r="B95" s="87"/>
      <c r="D95" s="89"/>
      <c r="E95" s="90"/>
      <c r="F95" s="89"/>
      <c r="G95" s="91"/>
      <c r="H95" s="87"/>
      <c r="I95" s="87"/>
      <c r="J95" s="89"/>
    </row>
    <row r="96" spans="1:12" s="88" customFormat="1" ht="18.75">
      <c r="A96" s="88" t="s">
        <v>148</v>
      </c>
      <c r="D96" s="89"/>
      <c r="E96" s="90"/>
      <c r="F96" s="89"/>
      <c r="G96" s="91"/>
      <c r="H96" s="87"/>
      <c r="I96" s="87"/>
      <c r="J96" s="89"/>
    </row>
    <row r="97" spans="1:10" s="88" customFormat="1" ht="18.75">
      <c r="A97" s="94" t="s">
        <v>164</v>
      </c>
      <c r="B97" s="87"/>
      <c r="D97" s="89"/>
      <c r="E97" s="90"/>
      <c r="F97" s="89"/>
      <c r="G97" s="91"/>
      <c r="H97" s="87"/>
      <c r="I97" s="87"/>
      <c r="J97" s="89"/>
    </row>
    <row r="98" spans="1:10" s="88" customFormat="1" ht="18.75">
      <c r="A98" s="100" t="s">
        <v>165</v>
      </c>
      <c r="B98" s="87"/>
      <c r="D98" s="89"/>
      <c r="E98" s="90"/>
      <c r="F98" s="89"/>
      <c r="G98" s="91"/>
      <c r="H98" s="87"/>
      <c r="I98" s="87"/>
      <c r="J98" s="89"/>
    </row>
    <row r="99" spans="1:10" s="88" customFormat="1" ht="18.75">
      <c r="A99" s="95" t="s">
        <v>149</v>
      </c>
      <c r="B99" s="87"/>
      <c r="D99" s="89"/>
      <c r="E99" s="90"/>
      <c r="F99" s="89"/>
      <c r="G99" s="91"/>
      <c r="H99" s="87"/>
      <c r="I99" s="87"/>
      <c r="J99" s="89"/>
    </row>
    <row r="100" spans="1:10" s="88" customFormat="1" ht="18.75">
      <c r="A100" s="164" t="s">
        <v>150</v>
      </c>
      <c r="B100" s="87"/>
      <c r="D100" s="89"/>
      <c r="E100" s="90"/>
      <c r="F100" s="89"/>
      <c r="G100" s="91"/>
      <c r="H100" s="87"/>
      <c r="I100" s="87"/>
      <c r="J100" s="89"/>
    </row>
    <row r="101" spans="1:10" s="88" customFormat="1" ht="21">
      <c r="A101" s="164" t="s">
        <v>151</v>
      </c>
      <c r="B101" s="87"/>
      <c r="D101" s="89"/>
      <c r="E101" s="90"/>
      <c r="F101" s="96" t="s">
        <v>152</v>
      </c>
      <c r="G101" s="97" t="s">
        <v>153</v>
      </c>
      <c r="H101" s="98"/>
      <c r="I101" s="98"/>
      <c r="J101" s="99"/>
    </row>
    <row r="102" spans="1:10" s="91" customFormat="1" ht="18.75">
      <c r="B102" s="164"/>
      <c r="D102" s="92"/>
      <c r="E102" s="93"/>
      <c r="F102" s="92"/>
      <c r="G102" s="91" t="s">
        <v>154</v>
      </c>
      <c r="J102" s="92"/>
    </row>
    <row r="103" spans="1:10" s="88" customFormat="1" ht="18.75">
      <c r="A103" s="87"/>
      <c r="B103" s="87"/>
      <c r="D103" s="89"/>
      <c r="E103" s="90"/>
      <c r="F103" s="89"/>
      <c r="G103" s="91"/>
      <c r="H103" s="87"/>
      <c r="I103" s="87"/>
      <c r="J103" s="89"/>
    </row>
  </sheetData>
  <mergeCells count="12">
    <mergeCell ref="H2:J2"/>
    <mergeCell ref="A4:A5"/>
    <mergeCell ref="B4:B5"/>
    <mergeCell ref="C4:C5"/>
    <mergeCell ref="D4:D5"/>
    <mergeCell ref="E4:E5"/>
    <mergeCell ref="F4:F5"/>
    <mergeCell ref="E3:K3"/>
    <mergeCell ref="K4:K5"/>
    <mergeCell ref="G4:G5"/>
    <mergeCell ref="H4:I4"/>
    <mergeCell ref="J4:J5"/>
  </mergeCells>
  <printOptions horizontalCentered="1"/>
  <pageMargins left="0" right="0" top="0.39370078740157483" bottom="0.19685039370078741" header="0.31496062992125984" footer="0.31496062992125984"/>
  <pageSetup paperSize="9" scale="66" orientation="portrait" horizontalDpi="300" verticalDpi="300" r:id="rId1"/>
</worksheet>
</file>

<file path=xl/worksheets/sheet2.xml><?xml version="1.0" encoding="utf-8"?>
<worksheet xmlns="http://schemas.openxmlformats.org/spreadsheetml/2006/main" xmlns:r="http://schemas.openxmlformats.org/officeDocument/2006/relationships">
  <dimension ref="A1:N102"/>
  <sheetViews>
    <sheetView topLeftCell="A63" zoomScale="75" zoomScaleNormal="75" workbookViewId="0">
      <selection activeCell="G87" sqref="G87"/>
    </sheetView>
  </sheetViews>
  <sheetFormatPr defaultRowHeight="21.75"/>
  <cols>
    <col min="1" max="2" width="4.625" style="7" customWidth="1"/>
    <col min="3" max="3" width="13.625" style="6" customWidth="1"/>
    <col min="4" max="4" width="12.625" style="9" customWidth="1"/>
    <col min="5" max="5" width="11.625" style="9" customWidth="1"/>
    <col min="6" max="6" width="5.625" style="9" customWidth="1"/>
    <col min="7" max="7" width="35.625" style="6" customWidth="1"/>
    <col min="8" max="9" width="5.625" style="7" customWidth="1"/>
    <col min="10" max="10" width="11.625" style="9" customWidth="1"/>
    <col min="11" max="11" width="5.625" style="6" customWidth="1"/>
    <col min="12" max="16384" width="9" style="6"/>
  </cols>
  <sheetData>
    <row r="1" spans="1:12">
      <c r="A1" s="107" t="s">
        <v>166</v>
      </c>
      <c r="B1" s="108"/>
      <c r="C1" s="109"/>
      <c r="D1" s="110"/>
      <c r="E1" s="110"/>
      <c r="F1" s="110"/>
      <c r="G1" s="109"/>
      <c r="H1" s="108"/>
      <c r="I1" s="108"/>
      <c r="J1" s="110"/>
      <c r="K1" s="109"/>
    </row>
    <row r="2" spans="1:12">
      <c r="B2" s="6"/>
      <c r="D2" s="6"/>
      <c r="E2" s="46"/>
      <c r="F2" s="8"/>
      <c r="H2" s="174"/>
      <c r="I2" s="174"/>
      <c r="J2" s="174"/>
    </row>
    <row r="3" spans="1:12">
      <c r="E3" s="188" t="s">
        <v>223</v>
      </c>
      <c r="F3" s="189"/>
      <c r="G3" s="189"/>
      <c r="H3" s="189"/>
      <c r="I3" s="189"/>
      <c r="J3" s="189"/>
      <c r="K3" s="190"/>
    </row>
    <row r="4" spans="1:12">
      <c r="A4" s="191" t="s">
        <v>1</v>
      </c>
      <c r="B4" s="193" t="s">
        <v>2</v>
      </c>
      <c r="C4" s="193" t="s">
        <v>3</v>
      </c>
      <c r="D4" s="196" t="s">
        <v>232</v>
      </c>
      <c r="E4" s="198" t="s">
        <v>222</v>
      </c>
      <c r="F4" s="198" t="s">
        <v>6</v>
      </c>
      <c r="G4" s="200" t="s">
        <v>224</v>
      </c>
      <c r="H4" s="202" t="s">
        <v>8</v>
      </c>
      <c r="I4" s="203"/>
      <c r="J4" s="186" t="s">
        <v>230</v>
      </c>
      <c r="K4" s="186" t="s">
        <v>6</v>
      </c>
    </row>
    <row r="5" spans="1:12" ht="54.75" customHeight="1">
      <c r="A5" s="192"/>
      <c r="B5" s="194"/>
      <c r="C5" s="195"/>
      <c r="D5" s="197"/>
      <c r="E5" s="199"/>
      <c r="F5" s="199"/>
      <c r="G5" s="201"/>
      <c r="H5" s="111" t="s">
        <v>10</v>
      </c>
      <c r="I5" s="111" t="s">
        <v>11</v>
      </c>
      <c r="J5" s="187"/>
      <c r="K5" s="187"/>
    </row>
    <row r="6" spans="1:12">
      <c r="A6" s="80">
        <v>1</v>
      </c>
      <c r="B6" s="34">
        <v>1</v>
      </c>
      <c r="C6" s="12" t="s">
        <v>12</v>
      </c>
      <c r="D6" s="13">
        <v>1649.5068493150684</v>
      </c>
      <c r="E6" s="20" t="s">
        <v>167</v>
      </c>
      <c r="F6" s="14"/>
      <c r="G6" s="57" t="s">
        <v>168</v>
      </c>
      <c r="H6" s="10"/>
      <c r="I6" s="10"/>
      <c r="J6" s="20" t="s">
        <v>167</v>
      </c>
      <c r="K6" s="61"/>
      <c r="L6" s="112"/>
    </row>
    <row r="7" spans="1:12">
      <c r="A7" s="80">
        <f>A6+1</f>
        <v>2</v>
      </c>
      <c r="B7" s="11"/>
      <c r="C7" s="12" t="s">
        <v>16</v>
      </c>
      <c r="D7" s="13">
        <v>1182.2301369863014</v>
      </c>
      <c r="E7" s="20" t="s">
        <v>167</v>
      </c>
      <c r="F7" s="14"/>
      <c r="G7" s="57" t="s">
        <v>168</v>
      </c>
      <c r="H7" s="10"/>
      <c r="I7" s="10"/>
      <c r="J7" s="20" t="s">
        <v>167</v>
      </c>
      <c r="K7" s="61"/>
    </row>
    <row r="8" spans="1:12">
      <c r="A8" s="80">
        <f t="shared" ref="A8:A71" si="0">A7+1</f>
        <v>3</v>
      </c>
      <c r="B8" s="11"/>
      <c r="C8" s="12" t="s">
        <v>17</v>
      </c>
      <c r="D8" s="13">
        <v>219.6</v>
      </c>
      <c r="E8" s="20" t="s">
        <v>167</v>
      </c>
      <c r="F8" s="14"/>
      <c r="G8" s="57" t="s">
        <v>168</v>
      </c>
      <c r="H8" s="10"/>
      <c r="I8" s="10"/>
      <c r="J8" s="20" t="s">
        <v>167</v>
      </c>
      <c r="K8" s="61"/>
    </row>
    <row r="9" spans="1:12">
      <c r="A9" s="80">
        <f t="shared" si="0"/>
        <v>4</v>
      </c>
      <c r="B9" s="31"/>
      <c r="C9" s="12" t="s">
        <v>18</v>
      </c>
      <c r="D9" s="13">
        <v>404.10410958904112</v>
      </c>
      <c r="E9" s="20" t="s">
        <v>167</v>
      </c>
      <c r="F9" s="14"/>
      <c r="G9" s="57" t="s">
        <v>168</v>
      </c>
      <c r="H9" s="10"/>
      <c r="I9" s="10"/>
      <c r="J9" s="20" t="s">
        <v>167</v>
      </c>
      <c r="K9" s="61"/>
    </row>
    <row r="10" spans="1:12">
      <c r="A10" s="80">
        <f t="shared" si="0"/>
        <v>5</v>
      </c>
      <c r="B10" s="34">
        <v>2</v>
      </c>
      <c r="C10" s="12" t="s">
        <v>20</v>
      </c>
      <c r="D10" s="13">
        <v>866.2604383561644</v>
      </c>
      <c r="E10" s="13">
        <f>71013.06/365</f>
        <v>194.55632876712329</v>
      </c>
      <c r="F10" s="14">
        <f>E10/D10</f>
        <v>0.22459334416369958</v>
      </c>
      <c r="G10" s="55" t="s">
        <v>169</v>
      </c>
      <c r="H10" s="10" t="s">
        <v>14</v>
      </c>
      <c r="I10" s="10" t="s">
        <v>14</v>
      </c>
      <c r="J10" s="13">
        <f>D10-E10</f>
        <v>671.70410958904108</v>
      </c>
      <c r="K10" s="68">
        <f>J10/D10</f>
        <v>0.77540665583630042</v>
      </c>
    </row>
    <row r="11" spans="1:12">
      <c r="A11" s="80">
        <f t="shared" si="0"/>
        <v>6</v>
      </c>
      <c r="B11" s="11"/>
      <c r="C11" s="12" t="s">
        <v>21</v>
      </c>
      <c r="D11" s="13">
        <v>202.04383561643834</v>
      </c>
      <c r="E11" s="13">
        <f>56466/365</f>
        <v>154.7013698630137</v>
      </c>
      <c r="F11" s="14">
        <f>E11/D11</f>
        <v>0.76568220649255558</v>
      </c>
      <c r="G11" s="113" t="s">
        <v>170</v>
      </c>
      <c r="H11" s="10" t="s">
        <v>14</v>
      </c>
      <c r="I11" s="10" t="s">
        <v>14</v>
      </c>
      <c r="J11" s="13">
        <f>D11-E11</f>
        <v>47.342465753424648</v>
      </c>
      <c r="K11" s="68">
        <f t="shared" ref="K11:K74" si="1">J11/D11</f>
        <v>0.23431779350744444</v>
      </c>
    </row>
    <row r="12" spans="1:12">
      <c r="A12" s="80">
        <f t="shared" si="0"/>
        <v>7</v>
      </c>
      <c r="B12" s="11"/>
      <c r="C12" s="12" t="s">
        <v>171</v>
      </c>
      <c r="D12" s="13">
        <v>450.23013698630137</v>
      </c>
      <c r="E12" s="13">
        <f>48</f>
        <v>48</v>
      </c>
      <c r="F12" s="14">
        <f>E12/D12</f>
        <v>0.10661214356128372</v>
      </c>
      <c r="G12" s="113" t="s">
        <v>172</v>
      </c>
      <c r="H12" s="10" t="s">
        <v>14</v>
      </c>
      <c r="I12" s="10" t="s">
        <v>14</v>
      </c>
      <c r="J12" s="13">
        <f>D12-E12</f>
        <v>402.23013698630137</v>
      </c>
      <c r="K12" s="68">
        <f t="shared" si="1"/>
        <v>0.89338785643871632</v>
      </c>
    </row>
    <row r="13" spans="1:12">
      <c r="A13" s="80">
        <f t="shared" si="0"/>
        <v>8</v>
      </c>
      <c r="B13" s="31"/>
      <c r="C13" s="12" t="s">
        <v>24</v>
      </c>
      <c r="D13" s="13">
        <v>239.81852054794518</v>
      </c>
      <c r="E13" s="114">
        <f>18240/365</f>
        <v>49.972602739726028</v>
      </c>
      <c r="F13" s="14">
        <f>E13/D13</f>
        <v>0.20837674515524068</v>
      </c>
      <c r="G13" s="113" t="s">
        <v>173</v>
      </c>
      <c r="H13" s="10" t="s">
        <v>14</v>
      </c>
      <c r="I13" s="115" t="s">
        <v>15</v>
      </c>
      <c r="J13" s="13">
        <f>D13-E13</f>
        <v>189.84591780821916</v>
      </c>
      <c r="K13" s="68">
        <f t="shared" si="1"/>
        <v>0.79162325484475926</v>
      </c>
    </row>
    <row r="14" spans="1:12">
      <c r="A14" s="80">
        <f t="shared" si="0"/>
        <v>9</v>
      </c>
      <c r="B14" s="34">
        <v>3</v>
      </c>
      <c r="C14" s="12" t="s">
        <v>25</v>
      </c>
      <c r="D14" s="13">
        <v>936.55890410958909</v>
      </c>
      <c r="E14" s="20" t="s">
        <v>167</v>
      </c>
      <c r="F14" s="14"/>
      <c r="G14" s="57" t="s">
        <v>168</v>
      </c>
      <c r="H14" s="10"/>
      <c r="I14" s="10"/>
      <c r="J14" s="20" t="s">
        <v>167</v>
      </c>
      <c r="K14" s="68"/>
    </row>
    <row r="15" spans="1:12">
      <c r="A15" s="80">
        <f t="shared" si="0"/>
        <v>10</v>
      </c>
      <c r="B15" s="11"/>
      <c r="C15" s="12" t="s">
        <v>27</v>
      </c>
      <c r="D15" s="13">
        <v>455.24383561643833</v>
      </c>
      <c r="E15" s="20" t="s">
        <v>167</v>
      </c>
      <c r="F15" s="14"/>
      <c r="G15" s="57" t="s">
        <v>168</v>
      </c>
      <c r="H15" s="10"/>
      <c r="I15" s="10"/>
      <c r="J15" s="20" t="s">
        <v>167</v>
      </c>
      <c r="K15" s="68"/>
    </row>
    <row r="16" spans="1:12" ht="108.75">
      <c r="A16" s="80">
        <f t="shared" si="0"/>
        <v>11</v>
      </c>
      <c r="B16" s="11"/>
      <c r="C16" s="12" t="s">
        <v>29</v>
      </c>
      <c r="D16" s="116">
        <v>215.72744920547942</v>
      </c>
      <c r="E16" s="116">
        <f>6384/153</f>
        <v>41.725490196078432</v>
      </c>
      <c r="F16" s="14">
        <f>E16/D16</f>
        <v>0.1934176218638505</v>
      </c>
      <c r="G16" s="39" t="s">
        <v>174</v>
      </c>
      <c r="H16" s="25" t="s">
        <v>14</v>
      </c>
      <c r="I16" s="25" t="s">
        <v>15</v>
      </c>
      <c r="J16" s="13">
        <f>D16-E16</f>
        <v>174.00195900940099</v>
      </c>
      <c r="K16" s="68">
        <f t="shared" si="1"/>
        <v>0.80658237813614952</v>
      </c>
    </row>
    <row r="17" spans="1:11">
      <c r="A17" s="80">
        <f t="shared" si="0"/>
        <v>12</v>
      </c>
      <c r="B17" s="11"/>
      <c r="C17" s="12" t="s">
        <v>30</v>
      </c>
      <c r="D17" s="13">
        <v>487.33150684931508</v>
      </c>
      <c r="E17" s="20" t="s">
        <v>167</v>
      </c>
      <c r="F17" s="14"/>
      <c r="G17" s="57" t="s">
        <v>168</v>
      </c>
      <c r="H17" s="10"/>
      <c r="I17" s="10"/>
      <c r="J17" s="20" t="s">
        <v>167</v>
      </c>
      <c r="K17" s="68"/>
    </row>
    <row r="18" spans="1:11" ht="87">
      <c r="A18" s="80">
        <f t="shared" si="0"/>
        <v>13</v>
      </c>
      <c r="B18" s="34">
        <v>4</v>
      </c>
      <c r="C18" s="84" t="s">
        <v>31</v>
      </c>
      <c r="D18" s="116">
        <v>1131.24</v>
      </c>
      <c r="E18" s="116">
        <v>334</v>
      </c>
      <c r="F18" s="14">
        <f t="shared" ref="F18:F25" si="2">E18/D18</f>
        <v>0.29525122874014353</v>
      </c>
      <c r="G18" s="39" t="s">
        <v>32</v>
      </c>
      <c r="H18" s="25" t="s">
        <v>14</v>
      </c>
      <c r="I18" s="25"/>
      <c r="J18" s="13">
        <f t="shared" ref="J18:J25" si="3">D18-E18</f>
        <v>797.24</v>
      </c>
      <c r="K18" s="68">
        <f t="shared" si="1"/>
        <v>0.70474877125985647</v>
      </c>
    </row>
    <row r="19" spans="1:11" ht="65.25">
      <c r="A19" s="80">
        <f t="shared" si="0"/>
        <v>14</v>
      </c>
      <c r="B19" s="11"/>
      <c r="C19" s="84" t="s">
        <v>33</v>
      </c>
      <c r="D19" s="116">
        <v>639.77807999999993</v>
      </c>
      <c r="E19" s="116">
        <v>28</v>
      </c>
      <c r="F19" s="14">
        <f t="shared" si="2"/>
        <v>4.3765175574630506E-2</v>
      </c>
      <c r="G19" s="39" t="s">
        <v>175</v>
      </c>
      <c r="H19" s="25" t="s">
        <v>14</v>
      </c>
      <c r="I19" s="25"/>
      <c r="J19" s="13">
        <f t="shared" si="3"/>
        <v>611.77807999999993</v>
      </c>
      <c r="K19" s="68">
        <f t="shared" si="1"/>
        <v>0.95623482442536945</v>
      </c>
    </row>
    <row r="20" spans="1:11" ht="152.25">
      <c r="A20" s="80">
        <f t="shared" si="0"/>
        <v>15</v>
      </c>
      <c r="B20" s="11"/>
      <c r="C20" s="84" t="s">
        <v>35</v>
      </c>
      <c r="D20" s="116">
        <v>703.3968900000001</v>
      </c>
      <c r="E20" s="116">
        <v>245</v>
      </c>
      <c r="F20" s="14">
        <f t="shared" si="2"/>
        <v>0.34830975724103636</v>
      </c>
      <c r="G20" s="39" t="s">
        <v>36</v>
      </c>
      <c r="H20" s="25" t="s">
        <v>14</v>
      </c>
      <c r="I20" s="25"/>
      <c r="J20" s="13">
        <f t="shared" si="3"/>
        <v>458.3968900000001</v>
      </c>
      <c r="K20" s="68">
        <f t="shared" si="1"/>
        <v>0.65169024275896359</v>
      </c>
    </row>
    <row r="21" spans="1:11" ht="65.25">
      <c r="A21" s="80">
        <f t="shared" si="0"/>
        <v>16</v>
      </c>
      <c r="B21" s="11"/>
      <c r="C21" s="84" t="s">
        <v>37</v>
      </c>
      <c r="D21" s="116">
        <v>315.56437000000017</v>
      </c>
      <c r="E21" s="116">
        <v>69</v>
      </c>
      <c r="F21" s="14">
        <f t="shared" si="2"/>
        <v>0.2186558640951764</v>
      </c>
      <c r="G21" s="39" t="s">
        <v>176</v>
      </c>
      <c r="H21" s="25" t="s">
        <v>14</v>
      </c>
      <c r="I21" s="25"/>
      <c r="J21" s="13">
        <f t="shared" si="3"/>
        <v>246.56437000000017</v>
      </c>
      <c r="K21" s="68">
        <f t="shared" si="1"/>
        <v>0.78134413590482354</v>
      </c>
    </row>
    <row r="22" spans="1:11" ht="43.5">
      <c r="A22" s="80">
        <f t="shared" si="0"/>
        <v>17</v>
      </c>
      <c r="B22" s="34">
        <v>5</v>
      </c>
      <c r="C22" s="12" t="s">
        <v>39</v>
      </c>
      <c r="D22" s="22">
        <v>1070.1002739726027</v>
      </c>
      <c r="E22" s="22">
        <f>222390.85/365</f>
        <v>609.29</v>
      </c>
      <c r="F22" s="14">
        <f t="shared" si="2"/>
        <v>0.56937654799217374</v>
      </c>
      <c r="G22" s="39" t="s">
        <v>177</v>
      </c>
      <c r="H22" s="25"/>
      <c r="I22" s="25" t="s">
        <v>14</v>
      </c>
      <c r="J22" s="13">
        <f t="shared" si="3"/>
        <v>460.81027397260277</v>
      </c>
      <c r="K22" s="68">
        <f t="shared" si="1"/>
        <v>0.4306234520078262</v>
      </c>
    </row>
    <row r="23" spans="1:11" ht="87">
      <c r="A23" s="80">
        <f>A22+1</f>
        <v>18</v>
      </c>
      <c r="B23" s="11"/>
      <c r="C23" s="12" t="s">
        <v>41</v>
      </c>
      <c r="D23" s="22">
        <v>800.64107332796141</v>
      </c>
      <c r="E23" s="22">
        <f>50905.0980392157/365</f>
        <v>139.46602202524849</v>
      </c>
      <c r="F23" s="14">
        <f t="shared" si="2"/>
        <v>0.174192939472292</v>
      </c>
      <c r="G23" s="117" t="s">
        <v>178</v>
      </c>
      <c r="H23" s="25" t="s">
        <v>14</v>
      </c>
      <c r="I23" s="25"/>
      <c r="J23" s="13">
        <f t="shared" si="3"/>
        <v>661.17505130271297</v>
      </c>
      <c r="K23" s="68">
        <f t="shared" si="1"/>
        <v>0.82580706052770803</v>
      </c>
    </row>
    <row r="24" spans="1:11">
      <c r="A24" s="80">
        <f>A23+1</f>
        <v>19</v>
      </c>
      <c r="B24" s="11"/>
      <c r="C24" s="12" t="s">
        <v>42</v>
      </c>
      <c r="D24" s="22">
        <v>355.32000000000005</v>
      </c>
      <c r="E24" s="22">
        <f>27353.1/365</f>
        <v>74.94</v>
      </c>
      <c r="F24" s="14">
        <f t="shared" si="2"/>
        <v>0.21090847686592365</v>
      </c>
      <c r="G24" s="39" t="s">
        <v>179</v>
      </c>
      <c r="H24" s="25" t="s">
        <v>14</v>
      </c>
      <c r="I24" s="25"/>
      <c r="J24" s="13">
        <f t="shared" si="3"/>
        <v>280.38000000000005</v>
      </c>
      <c r="K24" s="68">
        <f t="shared" si="1"/>
        <v>0.78909152313407638</v>
      </c>
    </row>
    <row r="25" spans="1:11" ht="43.5">
      <c r="A25" s="80">
        <f t="shared" si="0"/>
        <v>20</v>
      </c>
      <c r="B25" s="31"/>
      <c r="C25" s="12" t="s">
        <v>45</v>
      </c>
      <c r="D25" s="22">
        <v>950.3499999999998</v>
      </c>
      <c r="E25" s="22">
        <f>237713.55/365</f>
        <v>651.27</v>
      </c>
      <c r="F25" s="14">
        <f t="shared" si="2"/>
        <v>0.68529489135581645</v>
      </c>
      <c r="G25" s="39" t="s">
        <v>180</v>
      </c>
      <c r="H25" s="25"/>
      <c r="I25" s="25" t="s">
        <v>14</v>
      </c>
      <c r="J25" s="13">
        <f t="shared" si="3"/>
        <v>299.07999999999981</v>
      </c>
      <c r="K25" s="68">
        <f t="shared" si="1"/>
        <v>0.31470510864418361</v>
      </c>
    </row>
    <row r="26" spans="1:11">
      <c r="A26" s="80">
        <f t="shared" si="0"/>
        <v>21</v>
      </c>
      <c r="B26" s="34">
        <v>6</v>
      </c>
      <c r="C26" s="12" t="s">
        <v>181</v>
      </c>
      <c r="D26" s="13">
        <v>1638.4767123287672</v>
      </c>
      <c r="E26" s="20" t="s">
        <v>167</v>
      </c>
      <c r="F26" s="14"/>
      <c r="G26" s="57" t="s">
        <v>168</v>
      </c>
      <c r="H26" s="10"/>
      <c r="I26" s="10"/>
      <c r="J26" s="20" t="s">
        <v>167</v>
      </c>
      <c r="K26" s="68"/>
    </row>
    <row r="27" spans="1:11">
      <c r="A27" s="80">
        <f t="shared" si="0"/>
        <v>22</v>
      </c>
      <c r="B27" s="11"/>
      <c r="C27" s="12" t="s">
        <v>49</v>
      </c>
      <c r="D27" s="13">
        <v>2067.6493150684933</v>
      </c>
      <c r="E27" s="20" t="s">
        <v>167</v>
      </c>
      <c r="F27" s="14"/>
      <c r="G27" s="57" t="s">
        <v>168</v>
      </c>
      <c r="H27" s="10"/>
      <c r="I27" s="10"/>
      <c r="J27" s="20" t="s">
        <v>167</v>
      </c>
      <c r="K27" s="68"/>
    </row>
    <row r="28" spans="1:11">
      <c r="A28" s="80">
        <f t="shared" si="0"/>
        <v>23</v>
      </c>
      <c r="B28" s="11"/>
      <c r="C28" s="12" t="s">
        <v>50</v>
      </c>
      <c r="D28" s="60">
        <v>1609.3972602739725</v>
      </c>
      <c r="E28" s="20" t="s">
        <v>167</v>
      </c>
      <c r="F28" s="14"/>
      <c r="G28" s="57" t="s">
        <v>168</v>
      </c>
      <c r="H28" s="10"/>
      <c r="I28" s="10"/>
      <c r="J28" s="20" t="s">
        <v>167</v>
      </c>
      <c r="K28" s="68"/>
    </row>
    <row r="29" spans="1:11">
      <c r="A29" s="80">
        <f t="shared" si="0"/>
        <v>24</v>
      </c>
      <c r="B29" s="11"/>
      <c r="C29" s="12" t="s">
        <v>51</v>
      </c>
      <c r="D29" s="60">
        <v>1199.2767123287672</v>
      </c>
      <c r="E29" s="20" t="s">
        <v>167</v>
      </c>
      <c r="F29" s="14"/>
      <c r="G29" s="57" t="s">
        <v>168</v>
      </c>
      <c r="H29" s="10"/>
      <c r="I29" s="10"/>
      <c r="J29" s="20" t="s">
        <v>167</v>
      </c>
      <c r="K29" s="68"/>
    </row>
    <row r="30" spans="1:11">
      <c r="A30" s="80">
        <f t="shared" si="0"/>
        <v>25</v>
      </c>
      <c r="B30" s="11"/>
      <c r="C30" s="12" t="s">
        <v>53</v>
      </c>
      <c r="D30" s="13">
        <v>281.76986301369863</v>
      </c>
      <c r="E30" s="20" t="s">
        <v>167</v>
      </c>
      <c r="F30" s="14"/>
      <c r="G30" s="57" t="s">
        <v>168</v>
      </c>
      <c r="H30" s="10"/>
      <c r="I30" s="10"/>
      <c r="J30" s="20" t="s">
        <v>167</v>
      </c>
      <c r="K30" s="68"/>
    </row>
    <row r="31" spans="1:11">
      <c r="A31" s="80">
        <f t="shared" si="0"/>
        <v>26</v>
      </c>
      <c r="B31" s="11"/>
      <c r="C31" s="12" t="s">
        <v>55</v>
      </c>
      <c r="D31" s="13">
        <v>250.68493150684932</v>
      </c>
      <c r="E31" s="20" t="s">
        <v>167</v>
      </c>
      <c r="F31" s="14"/>
      <c r="G31" s="57" t="s">
        <v>168</v>
      </c>
      <c r="H31" s="10"/>
      <c r="I31" s="10"/>
      <c r="J31" s="20" t="s">
        <v>167</v>
      </c>
      <c r="K31" s="68"/>
    </row>
    <row r="32" spans="1:11" ht="87">
      <c r="A32" s="80">
        <f t="shared" si="0"/>
        <v>27</v>
      </c>
      <c r="B32" s="34">
        <v>7</v>
      </c>
      <c r="C32" s="12" t="s">
        <v>57</v>
      </c>
      <c r="D32" s="22">
        <v>631</v>
      </c>
      <c r="E32" s="118">
        <v>408</v>
      </c>
      <c r="F32" s="14">
        <f t="shared" ref="F32:F41" si="4">E32/D32</f>
        <v>0.64659270998415219</v>
      </c>
      <c r="G32" s="39" t="s">
        <v>182</v>
      </c>
      <c r="H32" s="25" t="s">
        <v>14</v>
      </c>
      <c r="I32" s="25"/>
      <c r="J32" s="13">
        <f t="shared" ref="J32:J41" si="5">D32-E32</f>
        <v>223</v>
      </c>
      <c r="K32" s="68">
        <f t="shared" si="1"/>
        <v>0.35340729001584786</v>
      </c>
    </row>
    <row r="33" spans="1:11" ht="108.75">
      <c r="A33" s="80">
        <f t="shared" si="0"/>
        <v>28</v>
      </c>
      <c r="B33" s="11"/>
      <c r="C33" s="12" t="s">
        <v>59</v>
      </c>
      <c r="D33" s="22">
        <v>989.86616438356168</v>
      </c>
      <c r="E33" s="119">
        <f>16354.83/153</f>
        <v>106.89431372549019</v>
      </c>
      <c r="F33" s="14">
        <f t="shared" si="4"/>
        <v>0.10798865298326318</v>
      </c>
      <c r="G33" s="39" t="s">
        <v>183</v>
      </c>
      <c r="H33" s="25" t="s">
        <v>14</v>
      </c>
      <c r="I33" s="25" t="s">
        <v>14</v>
      </c>
      <c r="J33" s="13">
        <f t="shared" si="5"/>
        <v>882.9718506580715</v>
      </c>
      <c r="K33" s="68">
        <f t="shared" si="1"/>
        <v>0.89201134701673679</v>
      </c>
    </row>
    <row r="34" spans="1:11" ht="43.5">
      <c r="A34" s="80">
        <f t="shared" si="0"/>
        <v>29</v>
      </c>
      <c r="B34" s="11"/>
      <c r="C34" s="12" t="s">
        <v>60</v>
      </c>
      <c r="D34" s="59">
        <v>795</v>
      </c>
      <c r="E34" s="59">
        <v>47</v>
      </c>
      <c r="F34" s="14">
        <f t="shared" si="4"/>
        <v>5.9119496855345913E-2</v>
      </c>
      <c r="G34" s="39" t="s">
        <v>184</v>
      </c>
      <c r="H34" s="25" t="s">
        <v>14</v>
      </c>
      <c r="I34" s="25" t="s">
        <v>14</v>
      </c>
      <c r="J34" s="13">
        <f t="shared" si="5"/>
        <v>748</v>
      </c>
      <c r="K34" s="68">
        <f t="shared" si="1"/>
        <v>0.9408805031446541</v>
      </c>
    </row>
    <row r="35" spans="1:11" ht="174">
      <c r="A35" s="80">
        <f t="shared" si="0"/>
        <v>30</v>
      </c>
      <c r="B35" s="11"/>
      <c r="C35" s="12" t="s">
        <v>62</v>
      </c>
      <c r="D35" s="59">
        <v>256.35616438356163</v>
      </c>
      <c r="E35" s="59">
        <v>95</v>
      </c>
      <c r="F35" s="14">
        <f t="shared" si="4"/>
        <v>0.37057817676605753</v>
      </c>
      <c r="G35" s="39" t="s">
        <v>185</v>
      </c>
      <c r="H35" s="25" t="s">
        <v>14</v>
      </c>
      <c r="I35" s="25" t="s">
        <v>14</v>
      </c>
      <c r="J35" s="13">
        <f t="shared" si="5"/>
        <v>161.35616438356163</v>
      </c>
      <c r="K35" s="68">
        <f t="shared" si="1"/>
        <v>0.62942182323394247</v>
      </c>
    </row>
    <row r="36" spans="1:11" ht="43.5">
      <c r="A36" s="80">
        <f t="shared" si="0"/>
        <v>31</v>
      </c>
      <c r="B36" s="11"/>
      <c r="C36" s="12" t="s">
        <v>64</v>
      </c>
      <c r="D36" s="22">
        <v>437</v>
      </c>
      <c r="E36" s="118">
        <v>7</v>
      </c>
      <c r="F36" s="14">
        <f t="shared" si="4"/>
        <v>1.6018306636155607E-2</v>
      </c>
      <c r="G36" s="39" t="s">
        <v>186</v>
      </c>
      <c r="H36" s="25" t="s">
        <v>14</v>
      </c>
      <c r="I36" s="25" t="s">
        <v>14</v>
      </c>
      <c r="J36" s="13">
        <f t="shared" si="5"/>
        <v>430</v>
      </c>
      <c r="K36" s="68">
        <f t="shared" si="1"/>
        <v>0.98398169336384445</v>
      </c>
    </row>
    <row r="37" spans="1:11" ht="87">
      <c r="A37" s="80">
        <f t="shared" si="0"/>
        <v>32</v>
      </c>
      <c r="B37" s="34">
        <v>8</v>
      </c>
      <c r="C37" s="12" t="s">
        <v>66</v>
      </c>
      <c r="D37" s="120">
        <v>805.12</v>
      </c>
      <c r="E37" s="120">
        <f>11106.98/365</f>
        <v>30.430082191780819</v>
      </c>
      <c r="F37" s="14">
        <f t="shared" si="4"/>
        <v>3.7795710194481344E-2</v>
      </c>
      <c r="G37" s="55" t="s">
        <v>187</v>
      </c>
      <c r="H37" s="10" t="s">
        <v>19</v>
      </c>
      <c r="I37" s="10" t="s">
        <v>19</v>
      </c>
      <c r="J37" s="13">
        <f t="shared" si="5"/>
        <v>774.68991780821921</v>
      </c>
      <c r="K37" s="68">
        <f t="shared" si="1"/>
        <v>0.96220428980551864</v>
      </c>
    </row>
    <row r="38" spans="1:11">
      <c r="A38" s="80">
        <f>A37+1</f>
        <v>33</v>
      </c>
      <c r="B38" s="11"/>
      <c r="C38" s="12" t="s">
        <v>68</v>
      </c>
      <c r="D38" s="13">
        <v>789.75761643835619</v>
      </c>
      <c r="E38" s="13">
        <f>19380/365</f>
        <v>53.095890410958901</v>
      </c>
      <c r="F38" s="14">
        <f t="shared" si="4"/>
        <v>6.7230615198635754E-2</v>
      </c>
      <c r="G38" s="55" t="s">
        <v>67</v>
      </c>
      <c r="H38" s="10" t="s">
        <v>19</v>
      </c>
      <c r="I38" s="10" t="s">
        <v>19</v>
      </c>
      <c r="J38" s="13">
        <f t="shared" si="5"/>
        <v>736.66172602739732</v>
      </c>
      <c r="K38" s="68">
        <f t="shared" si="1"/>
        <v>0.93276938480136429</v>
      </c>
    </row>
    <row r="39" spans="1:11">
      <c r="A39" s="80">
        <f t="shared" si="0"/>
        <v>34</v>
      </c>
      <c r="B39" s="11"/>
      <c r="C39" s="12" t="s">
        <v>188</v>
      </c>
      <c r="D39" s="13">
        <v>182.04041095890412</v>
      </c>
      <c r="E39" s="13">
        <f>27306/365</f>
        <v>74.810958904109583</v>
      </c>
      <c r="F39" s="14">
        <f t="shared" si="4"/>
        <v>0.41095797636382103</v>
      </c>
      <c r="G39" s="55" t="s">
        <v>189</v>
      </c>
      <c r="H39" s="10"/>
      <c r="I39" s="10" t="s">
        <v>19</v>
      </c>
      <c r="J39" s="13">
        <f t="shared" si="5"/>
        <v>107.22945205479454</v>
      </c>
      <c r="K39" s="68">
        <f t="shared" si="1"/>
        <v>0.58904202363617897</v>
      </c>
    </row>
    <row r="40" spans="1:11">
      <c r="A40" s="80">
        <f t="shared" si="0"/>
        <v>35</v>
      </c>
      <c r="B40" s="11"/>
      <c r="C40" s="12" t="s">
        <v>70</v>
      </c>
      <c r="D40" s="13">
        <v>461.24594520547942</v>
      </c>
      <c r="E40" s="13">
        <f>15750/365</f>
        <v>43.150684931506852</v>
      </c>
      <c r="F40" s="14">
        <f t="shared" si="4"/>
        <v>9.3552442856237469E-2</v>
      </c>
      <c r="G40" s="55" t="s">
        <v>67</v>
      </c>
      <c r="H40" s="10" t="s">
        <v>19</v>
      </c>
      <c r="I40" s="10"/>
      <c r="J40" s="13">
        <f t="shared" si="5"/>
        <v>418.09526027397254</v>
      </c>
      <c r="K40" s="68">
        <f t="shared" si="1"/>
        <v>0.90644755714376246</v>
      </c>
    </row>
    <row r="41" spans="1:11">
      <c r="A41" s="80">
        <f t="shared" si="0"/>
        <v>36</v>
      </c>
      <c r="B41" s="31"/>
      <c r="C41" s="12" t="s">
        <v>71</v>
      </c>
      <c r="D41" s="13">
        <v>497.82989041095891</v>
      </c>
      <c r="E41" s="13">
        <f>19687/365</f>
        <v>53.936986301369863</v>
      </c>
      <c r="F41" s="14">
        <f t="shared" si="4"/>
        <v>0.10834421022177845</v>
      </c>
      <c r="G41" s="55" t="s">
        <v>67</v>
      </c>
      <c r="H41" s="10" t="s">
        <v>19</v>
      </c>
      <c r="I41" s="10"/>
      <c r="J41" s="13">
        <f t="shared" si="5"/>
        <v>443.89290410958904</v>
      </c>
      <c r="K41" s="68">
        <f t="shared" si="1"/>
        <v>0.89165578977822157</v>
      </c>
    </row>
    <row r="42" spans="1:11">
      <c r="A42" s="80">
        <f t="shared" si="0"/>
        <v>37</v>
      </c>
      <c r="B42" s="34">
        <v>9</v>
      </c>
      <c r="C42" s="12" t="s">
        <v>72</v>
      </c>
      <c r="D42" s="13">
        <v>1681.5945205479452</v>
      </c>
      <c r="E42" s="20" t="s">
        <v>167</v>
      </c>
      <c r="F42" s="14"/>
      <c r="G42" s="57" t="s">
        <v>168</v>
      </c>
      <c r="H42" s="10"/>
      <c r="I42" s="10"/>
      <c r="J42" s="20" t="s">
        <v>167</v>
      </c>
      <c r="K42" s="68"/>
    </row>
    <row r="43" spans="1:11">
      <c r="A43" s="80">
        <f t="shared" si="0"/>
        <v>38</v>
      </c>
      <c r="B43" s="11"/>
      <c r="C43" s="12" t="s">
        <v>73</v>
      </c>
      <c r="D43" s="13">
        <v>512.4</v>
      </c>
      <c r="E43" s="20" t="s">
        <v>167</v>
      </c>
      <c r="F43" s="14"/>
      <c r="G43" s="57" t="s">
        <v>168</v>
      </c>
      <c r="H43" s="10"/>
      <c r="I43" s="10"/>
      <c r="J43" s="20" t="s">
        <v>167</v>
      </c>
      <c r="K43" s="68"/>
    </row>
    <row r="44" spans="1:11">
      <c r="A44" s="80">
        <f t="shared" si="0"/>
        <v>39</v>
      </c>
      <c r="B44" s="11"/>
      <c r="C44" s="12" t="s">
        <v>75</v>
      </c>
      <c r="D44" s="13">
        <v>591.14246575342463</v>
      </c>
      <c r="E44" s="13">
        <f>58987.65/365</f>
        <v>161.61000000000001</v>
      </c>
      <c r="F44" s="14">
        <f>E44/D44</f>
        <v>0.27338587457766944</v>
      </c>
      <c r="G44" s="55" t="s">
        <v>225</v>
      </c>
      <c r="H44" s="10" t="s">
        <v>19</v>
      </c>
      <c r="I44" s="10"/>
      <c r="J44" s="13">
        <f>D44-E44</f>
        <v>429.53246575342462</v>
      </c>
      <c r="K44" s="68">
        <f t="shared" si="1"/>
        <v>0.7266141254223305</v>
      </c>
    </row>
    <row r="45" spans="1:11">
      <c r="A45" s="80">
        <f t="shared" si="0"/>
        <v>40</v>
      </c>
      <c r="B45" s="11"/>
      <c r="C45" s="12" t="s">
        <v>77</v>
      </c>
      <c r="D45" s="13">
        <v>683.86849315068491</v>
      </c>
      <c r="E45" s="20" t="s">
        <v>167</v>
      </c>
      <c r="F45" s="14"/>
      <c r="G45" s="57" t="s">
        <v>168</v>
      </c>
      <c r="H45" s="10"/>
      <c r="I45" s="10"/>
      <c r="J45" s="20" t="s">
        <v>167</v>
      </c>
      <c r="K45" s="68"/>
    </row>
    <row r="46" spans="1:11">
      <c r="A46" s="80">
        <f t="shared" si="0"/>
        <v>41</v>
      </c>
      <c r="B46" s="11"/>
      <c r="C46" s="12" t="s">
        <v>79</v>
      </c>
      <c r="D46" s="13">
        <v>1136.1041095890412</v>
      </c>
      <c r="E46" s="20" t="s">
        <v>167</v>
      </c>
      <c r="F46" s="14"/>
      <c r="G46" s="57" t="s">
        <v>168</v>
      </c>
      <c r="H46" s="10"/>
      <c r="I46" s="10"/>
      <c r="J46" s="20" t="s">
        <v>167</v>
      </c>
      <c r="K46" s="68"/>
    </row>
    <row r="47" spans="1:11">
      <c r="A47" s="80">
        <f t="shared" si="0"/>
        <v>42</v>
      </c>
      <c r="B47" s="31"/>
      <c r="C47" s="12" t="s">
        <v>81</v>
      </c>
      <c r="D47" s="60">
        <v>403.1013698630137</v>
      </c>
      <c r="E47" s="20" t="s">
        <v>167</v>
      </c>
      <c r="F47" s="14"/>
      <c r="G47" s="57" t="s">
        <v>168</v>
      </c>
      <c r="H47" s="10"/>
      <c r="I47" s="10"/>
      <c r="J47" s="20" t="s">
        <v>167</v>
      </c>
      <c r="K47" s="68"/>
    </row>
    <row r="48" spans="1:11">
      <c r="A48" s="80">
        <f t="shared" si="0"/>
        <v>43</v>
      </c>
      <c r="B48" s="34">
        <v>10</v>
      </c>
      <c r="C48" s="12" t="s">
        <v>83</v>
      </c>
      <c r="D48" s="13">
        <v>1870.1095890410959</v>
      </c>
      <c r="E48" s="20" t="s">
        <v>167</v>
      </c>
      <c r="F48" s="14"/>
      <c r="G48" s="57" t="s">
        <v>168</v>
      </c>
      <c r="H48" s="10"/>
      <c r="I48" s="10"/>
      <c r="J48" s="20" t="s">
        <v>167</v>
      </c>
      <c r="K48" s="68"/>
    </row>
    <row r="49" spans="1:11">
      <c r="A49" s="80">
        <f t="shared" si="0"/>
        <v>44</v>
      </c>
      <c r="B49" s="11"/>
      <c r="C49" s="12" t="s">
        <v>85</v>
      </c>
      <c r="D49" s="60">
        <v>293.74591780821919</v>
      </c>
      <c r="E49" s="60">
        <f>41687.4/365</f>
        <v>114.21205479452055</v>
      </c>
      <c r="F49" s="14">
        <f>E49/D49</f>
        <v>0.38881239830228825</v>
      </c>
      <c r="G49" s="55" t="s">
        <v>225</v>
      </c>
      <c r="H49" s="10" t="s">
        <v>19</v>
      </c>
      <c r="I49" s="10"/>
      <c r="J49" s="13">
        <f>D49-E49</f>
        <v>179.53386301369864</v>
      </c>
      <c r="K49" s="68">
        <f t="shared" si="1"/>
        <v>0.61118760169771169</v>
      </c>
    </row>
    <row r="50" spans="1:11">
      <c r="A50" s="80">
        <f>A49+1</f>
        <v>45</v>
      </c>
      <c r="B50" s="11"/>
      <c r="C50" s="12" t="s">
        <v>87</v>
      </c>
      <c r="D50" s="60">
        <v>986.6958904109589</v>
      </c>
      <c r="E50" s="20" t="s">
        <v>167</v>
      </c>
      <c r="F50" s="14"/>
      <c r="G50" s="57" t="s">
        <v>168</v>
      </c>
      <c r="H50" s="10"/>
      <c r="I50" s="10"/>
      <c r="J50" s="20" t="s">
        <v>167</v>
      </c>
      <c r="K50" s="68"/>
    </row>
    <row r="51" spans="1:11">
      <c r="A51" s="80">
        <f t="shared" si="0"/>
        <v>46</v>
      </c>
      <c r="B51" s="11"/>
      <c r="C51" s="12" t="s">
        <v>89</v>
      </c>
      <c r="D51" s="60">
        <v>1088.9753424657533</v>
      </c>
      <c r="E51" s="20" t="s">
        <v>167</v>
      </c>
      <c r="F51" s="14"/>
      <c r="G51" s="57" t="s">
        <v>168</v>
      </c>
      <c r="H51" s="10"/>
      <c r="I51" s="10"/>
      <c r="J51" s="20" t="s">
        <v>167</v>
      </c>
      <c r="K51" s="68"/>
    </row>
    <row r="52" spans="1:11">
      <c r="A52" s="80">
        <f t="shared" si="0"/>
        <v>47</v>
      </c>
      <c r="B52" s="11"/>
      <c r="C52" s="12" t="s">
        <v>91</v>
      </c>
      <c r="D52" s="60">
        <v>499.36438356164382</v>
      </c>
      <c r="E52" s="20" t="s">
        <v>167</v>
      </c>
      <c r="F52" s="14"/>
      <c r="G52" s="57" t="s">
        <v>168</v>
      </c>
      <c r="H52" s="10"/>
      <c r="I52" s="10"/>
      <c r="J52" s="20" t="s">
        <v>167</v>
      </c>
      <c r="K52" s="68"/>
    </row>
    <row r="53" spans="1:11">
      <c r="A53" s="80">
        <f t="shared" si="0"/>
        <v>48</v>
      </c>
      <c r="B53" s="34">
        <v>11</v>
      </c>
      <c r="C53" s="12" t="s">
        <v>93</v>
      </c>
      <c r="D53" s="22">
        <v>2260.1753424657536</v>
      </c>
      <c r="E53" s="20" t="s">
        <v>167</v>
      </c>
      <c r="F53" s="14"/>
      <c r="G53" s="57" t="s">
        <v>168</v>
      </c>
      <c r="H53" s="10"/>
      <c r="I53" s="10"/>
      <c r="J53" s="20" t="s">
        <v>167</v>
      </c>
      <c r="K53" s="68"/>
    </row>
    <row r="54" spans="1:11">
      <c r="A54" s="80">
        <f t="shared" si="0"/>
        <v>49</v>
      </c>
      <c r="B54" s="11"/>
      <c r="C54" s="12" t="s">
        <v>95</v>
      </c>
      <c r="D54" s="22">
        <v>1305.5671232876712</v>
      </c>
      <c r="E54" s="20" t="s">
        <v>167</v>
      </c>
      <c r="F54" s="14"/>
      <c r="G54" s="57" t="s">
        <v>168</v>
      </c>
      <c r="H54" s="10"/>
      <c r="I54" s="10"/>
      <c r="J54" s="20" t="s">
        <v>167</v>
      </c>
      <c r="K54" s="68"/>
    </row>
    <row r="55" spans="1:11">
      <c r="A55" s="80">
        <f t="shared" si="0"/>
        <v>50</v>
      </c>
      <c r="B55" s="11"/>
      <c r="C55" s="12" t="s">
        <v>96</v>
      </c>
      <c r="D55" s="22">
        <v>1561.2657534246575</v>
      </c>
      <c r="E55" s="20" t="s">
        <v>167</v>
      </c>
      <c r="F55" s="14"/>
      <c r="G55" s="57" t="s">
        <v>168</v>
      </c>
      <c r="H55" s="10"/>
      <c r="I55" s="10"/>
      <c r="J55" s="20" t="s">
        <v>167</v>
      </c>
      <c r="K55" s="68"/>
    </row>
    <row r="56" spans="1:11">
      <c r="A56" s="80">
        <f t="shared" si="0"/>
        <v>51</v>
      </c>
      <c r="B56" s="11"/>
      <c r="C56" s="12" t="s">
        <v>97</v>
      </c>
      <c r="D56" s="22">
        <v>1388.7945205479452</v>
      </c>
      <c r="E56" s="20" t="s">
        <v>167</v>
      </c>
      <c r="F56" s="14"/>
      <c r="G56" s="57" t="s">
        <v>168</v>
      </c>
      <c r="H56" s="10"/>
      <c r="I56" s="10"/>
      <c r="J56" s="20" t="s">
        <v>167</v>
      </c>
      <c r="K56" s="68"/>
    </row>
    <row r="57" spans="1:11" ht="108.75">
      <c r="A57" s="80">
        <f t="shared" si="0"/>
        <v>52</v>
      </c>
      <c r="B57" s="34">
        <v>12</v>
      </c>
      <c r="C57" s="12" t="s">
        <v>98</v>
      </c>
      <c r="D57" s="60">
        <v>1126.0767123287671</v>
      </c>
      <c r="E57" s="20" t="s">
        <v>167</v>
      </c>
      <c r="F57" s="14"/>
      <c r="G57" s="18" t="s">
        <v>190</v>
      </c>
      <c r="H57" s="10"/>
      <c r="I57" s="10"/>
      <c r="J57" s="20" t="s">
        <v>167</v>
      </c>
      <c r="K57" s="68"/>
    </row>
    <row r="58" spans="1:11" ht="108.75">
      <c r="A58" s="80">
        <f t="shared" si="0"/>
        <v>53</v>
      </c>
      <c r="B58" s="11"/>
      <c r="C58" s="12" t="s">
        <v>100</v>
      </c>
      <c r="D58" s="60">
        <v>264.72328767123287</v>
      </c>
      <c r="E58" s="20" t="s">
        <v>167</v>
      </c>
      <c r="F58" s="14"/>
      <c r="G58" s="18" t="s">
        <v>110</v>
      </c>
      <c r="H58" s="10"/>
      <c r="I58" s="10"/>
      <c r="J58" s="20" t="s">
        <v>167</v>
      </c>
      <c r="K58" s="68"/>
    </row>
    <row r="59" spans="1:11" ht="174">
      <c r="A59" s="80">
        <f t="shared" si="0"/>
        <v>54</v>
      </c>
      <c r="B59" s="11"/>
      <c r="C59" s="12" t="s">
        <v>103</v>
      </c>
      <c r="D59" s="60">
        <v>242.66301369863012</v>
      </c>
      <c r="E59" s="20" t="s">
        <v>167</v>
      </c>
      <c r="F59" s="14"/>
      <c r="G59" s="18" t="s">
        <v>102</v>
      </c>
      <c r="H59" s="10"/>
      <c r="I59" s="10"/>
      <c r="J59" s="20" t="s">
        <v>167</v>
      </c>
      <c r="K59" s="68"/>
    </row>
    <row r="60" spans="1:11" ht="43.5">
      <c r="A60" s="80">
        <f t="shared" si="0"/>
        <v>55</v>
      </c>
      <c r="B60" s="11"/>
      <c r="C60" s="12" t="s">
        <v>106</v>
      </c>
      <c r="D60" s="60">
        <v>104.93424657534247</v>
      </c>
      <c r="E60" s="60">
        <f>25586.5/365</f>
        <v>70.099999999999994</v>
      </c>
      <c r="F60" s="14">
        <f>E60/D60</f>
        <v>0.66803738805775292</v>
      </c>
      <c r="G60" s="55" t="s">
        <v>107</v>
      </c>
      <c r="H60" s="10"/>
      <c r="I60" s="10"/>
      <c r="J60" s="13">
        <f>D60-E60</f>
        <v>34.834246575342476</v>
      </c>
      <c r="K60" s="68">
        <f t="shared" si="1"/>
        <v>0.33196261194224702</v>
      </c>
    </row>
    <row r="61" spans="1:11" ht="130.5">
      <c r="A61" s="80">
        <f>A60+1</f>
        <v>56</v>
      </c>
      <c r="B61" s="11"/>
      <c r="C61" s="12" t="s">
        <v>108</v>
      </c>
      <c r="D61" s="60">
        <v>883.41369863013699</v>
      </c>
      <c r="E61" s="20" t="s">
        <v>167</v>
      </c>
      <c r="F61" s="14"/>
      <c r="G61" s="18" t="s">
        <v>105</v>
      </c>
      <c r="H61" s="10"/>
      <c r="I61" s="10"/>
      <c r="J61" s="20" t="s">
        <v>167</v>
      </c>
      <c r="K61" s="68"/>
    </row>
    <row r="62" spans="1:11">
      <c r="A62" s="80">
        <f t="shared" si="0"/>
        <v>57</v>
      </c>
      <c r="B62" s="34">
        <v>13</v>
      </c>
      <c r="C62" s="12" t="s">
        <v>111</v>
      </c>
      <c r="D62" s="13">
        <v>2509.8575342465751</v>
      </c>
      <c r="E62" s="20" t="s">
        <v>167</v>
      </c>
      <c r="F62" s="14"/>
      <c r="G62" s="57" t="s">
        <v>168</v>
      </c>
      <c r="H62" s="10"/>
      <c r="I62" s="10"/>
      <c r="J62" s="20" t="s">
        <v>167</v>
      </c>
      <c r="K62" s="68"/>
    </row>
    <row r="63" spans="1:11">
      <c r="A63" s="80">
        <f t="shared" si="0"/>
        <v>58</v>
      </c>
      <c r="B63" s="11"/>
      <c r="C63" s="12" t="s">
        <v>113</v>
      </c>
      <c r="D63" s="13">
        <v>976.66849315068498</v>
      </c>
      <c r="E63" s="13">
        <v>521</v>
      </c>
      <c r="F63" s="14">
        <f>E63/D63</f>
        <v>0.53344610136780335</v>
      </c>
      <c r="G63" s="55" t="s">
        <v>191</v>
      </c>
      <c r="H63" s="10"/>
      <c r="I63" s="10"/>
      <c r="J63" s="13">
        <f>D63-E63</f>
        <v>455.66849315068498</v>
      </c>
      <c r="K63" s="68">
        <f t="shared" si="1"/>
        <v>0.46655389863219671</v>
      </c>
    </row>
    <row r="64" spans="1:11" ht="43.5">
      <c r="A64" s="80">
        <f t="shared" si="0"/>
        <v>59</v>
      </c>
      <c r="B64" s="11"/>
      <c r="C64" s="12" t="s">
        <v>115</v>
      </c>
      <c r="D64" s="13">
        <v>220.60273972602741</v>
      </c>
      <c r="E64" s="13">
        <f>13224/153</f>
        <v>86.431372549019613</v>
      </c>
      <c r="F64" s="14">
        <f>E64/D64</f>
        <v>0.3917964602631912</v>
      </c>
      <c r="G64" s="55" t="s">
        <v>192</v>
      </c>
      <c r="H64" s="10"/>
      <c r="I64" s="10"/>
      <c r="J64" s="13">
        <f>D64-E64</f>
        <v>134.1713671770078</v>
      </c>
      <c r="K64" s="68">
        <f t="shared" si="1"/>
        <v>0.60820353973680874</v>
      </c>
    </row>
    <row r="65" spans="1:11">
      <c r="A65" s="80">
        <f>A64+1</f>
        <v>60</v>
      </c>
      <c r="B65" s="11"/>
      <c r="C65" s="12" t="s">
        <v>117</v>
      </c>
      <c r="D65" s="13">
        <v>608.66301369863015</v>
      </c>
      <c r="E65" s="20" t="s">
        <v>167</v>
      </c>
      <c r="F65" s="14"/>
      <c r="G65" s="57" t="s">
        <v>168</v>
      </c>
      <c r="H65" s="10"/>
      <c r="I65" s="10"/>
      <c r="J65" s="20" t="s">
        <v>167</v>
      </c>
      <c r="K65" s="68"/>
    </row>
    <row r="66" spans="1:11">
      <c r="A66" s="80">
        <f t="shared" si="0"/>
        <v>61</v>
      </c>
      <c r="B66" s="11"/>
      <c r="C66" s="12" t="s">
        <v>118</v>
      </c>
      <c r="D66" s="60">
        <v>873.38630136986296</v>
      </c>
      <c r="E66" s="20" t="s">
        <v>167</v>
      </c>
      <c r="F66" s="14"/>
      <c r="G66" s="57" t="s">
        <v>168</v>
      </c>
      <c r="H66" s="10"/>
      <c r="I66" s="10"/>
      <c r="J66" s="20" t="s">
        <v>167</v>
      </c>
      <c r="K66" s="68"/>
    </row>
    <row r="67" spans="1:11">
      <c r="A67" s="80">
        <f t="shared" si="0"/>
        <v>62</v>
      </c>
      <c r="B67" s="31"/>
      <c r="C67" s="12" t="s">
        <v>120</v>
      </c>
      <c r="D67" s="121">
        <v>200.77857534246573</v>
      </c>
      <c r="E67" s="122">
        <f>16.2</f>
        <v>16.2</v>
      </c>
      <c r="F67" s="14">
        <f>E67/D67</f>
        <v>8.0685899739889294E-2</v>
      </c>
      <c r="G67" s="113" t="s">
        <v>114</v>
      </c>
      <c r="H67" s="123"/>
      <c r="I67" s="124" t="s">
        <v>15</v>
      </c>
      <c r="J67" s="13">
        <f>D67-E67</f>
        <v>184.57857534246574</v>
      </c>
      <c r="K67" s="68">
        <f t="shared" si="1"/>
        <v>0.91931410026011073</v>
      </c>
    </row>
    <row r="68" spans="1:11">
      <c r="A68" s="80">
        <f t="shared" si="0"/>
        <v>63</v>
      </c>
      <c r="B68" s="34">
        <v>14</v>
      </c>
      <c r="C68" s="12" t="s">
        <v>121</v>
      </c>
      <c r="D68" s="60">
        <v>1084.9643835616439</v>
      </c>
      <c r="E68" s="20" t="s">
        <v>167</v>
      </c>
      <c r="F68" s="14"/>
      <c r="G68" s="57" t="s">
        <v>168</v>
      </c>
      <c r="H68" s="10"/>
      <c r="I68" s="10"/>
      <c r="J68" s="20" t="s">
        <v>167</v>
      </c>
      <c r="K68" s="68"/>
    </row>
    <row r="69" spans="1:11">
      <c r="A69" s="80">
        <f t="shared" si="0"/>
        <v>64</v>
      </c>
      <c r="B69" s="11"/>
      <c r="C69" s="12" t="s">
        <v>123</v>
      </c>
      <c r="D69" s="60">
        <v>366</v>
      </c>
      <c r="E69" s="20" t="s">
        <v>167</v>
      </c>
      <c r="F69" s="14"/>
      <c r="G69" s="57" t="s">
        <v>168</v>
      </c>
      <c r="H69" s="10"/>
      <c r="I69" s="10"/>
      <c r="J69" s="20" t="s">
        <v>167</v>
      </c>
      <c r="K69" s="68"/>
    </row>
    <row r="70" spans="1:11">
      <c r="A70" s="80">
        <f t="shared" si="0"/>
        <v>65</v>
      </c>
      <c r="B70" s="11"/>
      <c r="C70" s="12" t="s">
        <v>124</v>
      </c>
      <c r="D70" s="60">
        <v>1106.0219178082191</v>
      </c>
      <c r="E70" s="20" t="s">
        <v>167</v>
      </c>
      <c r="F70" s="14"/>
      <c r="G70" s="57" t="s">
        <v>168</v>
      </c>
      <c r="H70" s="10"/>
      <c r="I70" s="10"/>
      <c r="J70" s="20" t="s">
        <v>167</v>
      </c>
      <c r="K70" s="68"/>
    </row>
    <row r="71" spans="1:11">
      <c r="A71" s="80">
        <f t="shared" si="0"/>
        <v>66</v>
      </c>
      <c r="B71" s="11"/>
      <c r="C71" s="12" t="s">
        <v>125</v>
      </c>
      <c r="D71" s="13">
        <v>200.54794520547946</v>
      </c>
      <c r="E71" s="20" t="s">
        <v>167</v>
      </c>
      <c r="F71" s="14"/>
      <c r="G71" s="57" t="s">
        <v>168</v>
      </c>
      <c r="H71" s="10"/>
      <c r="I71" s="10"/>
      <c r="J71" s="20" t="s">
        <v>167</v>
      </c>
      <c r="K71" s="68"/>
    </row>
    <row r="72" spans="1:11" ht="108.75">
      <c r="A72" s="80">
        <f t="shared" ref="A72:A81" si="6">A71+1</f>
        <v>67</v>
      </c>
      <c r="B72" s="34">
        <v>15</v>
      </c>
      <c r="C72" s="12" t="s">
        <v>127</v>
      </c>
      <c r="D72" s="22">
        <v>744</v>
      </c>
      <c r="E72" s="22">
        <f>664/153</f>
        <v>4.3398692810457513</v>
      </c>
      <c r="F72" s="14">
        <f>E72/D72</f>
        <v>5.833157635814182E-3</v>
      </c>
      <c r="G72" s="39" t="s">
        <v>193</v>
      </c>
      <c r="H72" s="25" t="s">
        <v>14</v>
      </c>
      <c r="I72" s="62"/>
      <c r="J72" s="13">
        <f>D72-E72</f>
        <v>739.66013071895429</v>
      </c>
      <c r="K72" s="68">
        <f t="shared" si="1"/>
        <v>0.99416684236418584</v>
      </c>
    </row>
    <row r="73" spans="1:11" ht="108.75">
      <c r="A73" s="80">
        <f t="shared" si="6"/>
        <v>68</v>
      </c>
      <c r="B73" s="11"/>
      <c r="C73" s="12" t="s">
        <v>128</v>
      </c>
      <c r="D73" s="22">
        <v>664.85</v>
      </c>
      <c r="E73" s="22">
        <f>128.92/153</f>
        <v>0.84261437908496728</v>
      </c>
      <c r="F73" s="14">
        <f>E73/D73</f>
        <v>1.2673751659546774E-3</v>
      </c>
      <c r="G73" s="39" t="s">
        <v>194</v>
      </c>
      <c r="H73" s="25" t="s">
        <v>14</v>
      </c>
      <c r="I73" s="25"/>
      <c r="J73" s="13">
        <f>D73-E73</f>
        <v>664.0073856209151</v>
      </c>
      <c r="K73" s="68">
        <f t="shared" si="1"/>
        <v>0.99873262483404535</v>
      </c>
    </row>
    <row r="74" spans="1:11" ht="87">
      <c r="A74" s="80">
        <f t="shared" si="6"/>
        <v>69</v>
      </c>
      <c r="B74" s="11"/>
      <c r="C74" s="12" t="s">
        <v>130</v>
      </c>
      <c r="D74" s="22">
        <v>301.43</v>
      </c>
      <c r="E74" s="22">
        <f>80.85/153</f>
        <v>0.52843137254901962</v>
      </c>
      <c r="F74" s="14">
        <f>E74/D74</f>
        <v>1.7530815530936523E-3</v>
      </c>
      <c r="G74" s="39" t="s">
        <v>195</v>
      </c>
      <c r="H74" s="25" t="s">
        <v>14</v>
      </c>
      <c r="I74" s="25"/>
      <c r="J74" s="13">
        <f>D74-E74</f>
        <v>300.90156862745101</v>
      </c>
      <c r="K74" s="68">
        <f t="shared" si="1"/>
        <v>0.99824691844690638</v>
      </c>
    </row>
    <row r="75" spans="1:11" ht="108.75">
      <c r="A75" s="80">
        <f t="shared" si="6"/>
        <v>70</v>
      </c>
      <c r="B75" s="11"/>
      <c r="C75" s="12" t="s">
        <v>132</v>
      </c>
      <c r="D75" s="22">
        <v>308.58</v>
      </c>
      <c r="E75" s="22">
        <f>78.03/153</f>
        <v>0.51</v>
      </c>
      <c r="F75" s="14">
        <f t="shared" ref="F75:F81" si="7">E75/D75</f>
        <v>1.6527318685592067E-3</v>
      </c>
      <c r="G75" s="39" t="s">
        <v>196</v>
      </c>
      <c r="H75" s="25" t="s">
        <v>14</v>
      </c>
      <c r="I75" s="25"/>
      <c r="J75" s="13">
        <f t="shared" ref="J75:J81" si="8">D75-E75</f>
        <v>308.07</v>
      </c>
      <c r="K75" s="68">
        <f t="shared" ref="K75:K82" si="9">J75/D75</f>
        <v>0.99834726813144081</v>
      </c>
    </row>
    <row r="76" spans="1:11" ht="108.75">
      <c r="A76" s="80">
        <f t="shared" si="6"/>
        <v>71</v>
      </c>
      <c r="B76" s="11"/>
      <c r="C76" s="12" t="s">
        <v>134</v>
      </c>
      <c r="D76" s="22">
        <v>557.37000000000012</v>
      </c>
      <c r="E76" s="22">
        <f>147.75/153</f>
        <v>0.96568627450980393</v>
      </c>
      <c r="F76" s="14">
        <f t="shared" si="7"/>
        <v>1.732576698619954E-3</v>
      </c>
      <c r="G76" s="39" t="s">
        <v>197</v>
      </c>
      <c r="H76" s="25" t="s">
        <v>14</v>
      </c>
      <c r="I76" s="25"/>
      <c r="J76" s="13">
        <f t="shared" si="8"/>
        <v>556.40431372549028</v>
      </c>
      <c r="K76" s="68">
        <f t="shared" si="9"/>
        <v>0.99826742330137996</v>
      </c>
    </row>
    <row r="77" spans="1:11" ht="108.75">
      <c r="A77" s="80">
        <f t="shared" si="6"/>
        <v>72</v>
      </c>
      <c r="B77" s="34">
        <v>16</v>
      </c>
      <c r="C77" s="12" t="s">
        <v>136</v>
      </c>
      <c r="D77" s="60">
        <v>1624.1780547945204</v>
      </c>
      <c r="E77" s="60">
        <f>(168.2+216.1+78+81.2)</f>
        <v>543.5</v>
      </c>
      <c r="F77" s="14">
        <f t="shared" si="7"/>
        <v>0.33463079888045882</v>
      </c>
      <c r="G77" s="55" t="s">
        <v>198</v>
      </c>
      <c r="H77" s="10" t="s">
        <v>14</v>
      </c>
      <c r="I77" s="10" t="s">
        <v>14</v>
      </c>
      <c r="J77" s="13">
        <f t="shared" si="8"/>
        <v>1080.6780547945204</v>
      </c>
      <c r="K77" s="68">
        <f t="shared" si="9"/>
        <v>0.66536920111954123</v>
      </c>
    </row>
    <row r="78" spans="1:11" ht="43.5">
      <c r="A78" s="80">
        <f t="shared" si="6"/>
        <v>73</v>
      </c>
      <c r="B78" s="11"/>
      <c r="C78" s="12" t="s">
        <v>137</v>
      </c>
      <c r="D78" s="22">
        <v>851.59361643835609</v>
      </c>
      <c r="E78" s="22">
        <f>(58.7+60.66)</f>
        <v>119.36</v>
      </c>
      <c r="F78" s="14">
        <f t="shared" si="7"/>
        <v>0.14016075002910741</v>
      </c>
      <c r="G78" s="39" t="s">
        <v>199</v>
      </c>
      <c r="H78" s="25" t="s">
        <v>14</v>
      </c>
      <c r="I78" s="25" t="s">
        <v>15</v>
      </c>
      <c r="J78" s="13">
        <f t="shared" si="8"/>
        <v>732.23361643835608</v>
      </c>
      <c r="K78" s="68">
        <f t="shared" si="9"/>
        <v>0.85983924997089256</v>
      </c>
    </row>
    <row r="79" spans="1:11" ht="43.5">
      <c r="A79" s="80">
        <f t="shared" si="6"/>
        <v>74</v>
      </c>
      <c r="B79" s="11"/>
      <c r="C79" s="12" t="s">
        <v>139</v>
      </c>
      <c r="D79" s="59">
        <v>552</v>
      </c>
      <c r="E79" s="59">
        <f>(145.65+40.38)</f>
        <v>186.03</v>
      </c>
      <c r="F79" s="14">
        <f t="shared" si="7"/>
        <v>0.33701086956521742</v>
      </c>
      <c r="G79" s="39" t="s">
        <v>200</v>
      </c>
      <c r="H79" s="25" t="s">
        <v>19</v>
      </c>
      <c r="I79" s="25" t="s">
        <v>44</v>
      </c>
      <c r="J79" s="13">
        <f t="shared" si="8"/>
        <v>365.97</v>
      </c>
      <c r="K79" s="68">
        <f t="shared" si="9"/>
        <v>0.66298913043478269</v>
      </c>
    </row>
    <row r="80" spans="1:11">
      <c r="A80" s="80">
        <f t="shared" si="6"/>
        <v>75</v>
      </c>
      <c r="B80" s="11"/>
      <c r="C80" s="12" t="s">
        <v>141</v>
      </c>
      <c r="D80" s="22">
        <v>640.29315068493156</v>
      </c>
      <c r="E80" s="22">
        <f>129.77</f>
        <v>129.77000000000001</v>
      </c>
      <c r="F80" s="14">
        <f t="shared" si="7"/>
        <v>0.20267279114446721</v>
      </c>
      <c r="G80" s="39" t="s">
        <v>201</v>
      </c>
      <c r="H80" s="25" t="s">
        <v>19</v>
      </c>
      <c r="I80" s="25" t="s">
        <v>44</v>
      </c>
      <c r="J80" s="13">
        <f t="shared" si="8"/>
        <v>510.52315068493158</v>
      </c>
      <c r="K80" s="68">
        <f t="shared" si="9"/>
        <v>0.79732720885553288</v>
      </c>
    </row>
    <row r="81" spans="1:14">
      <c r="A81" s="80">
        <f t="shared" si="6"/>
        <v>76</v>
      </c>
      <c r="B81" s="31"/>
      <c r="C81" s="32" t="s">
        <v>142</v>
      </c>
      <c r="D81" s="27">
        <v>523.14</v>
      </c>
      <c r="E81" s="27">
        <f>35</f>
        <v>35</v>
      </c>
      <c r="F81" s="36">
        <f t="shared" si="7"/>
        <v>6.6903696907137669E-2</v>
      </c>
      <c r="G81" s="142" t="s">
        <v>202</v>
      </c>
      <c r="H81" s="28" t="s">
        <v>14</v>
      </c>
      <c r="I81" s="28" t="s">
        <v>14</v>
      </c>
      <c r="J81" s="35">
        <f t="shared" si="8"/>
        <v>488.14</v>
      </c>
      <c r="K81" s="68">
        <f t="shared" si="9"/>
        <v>0.93309630309286229</v>
      </c>
    </row>
    <row r="82" spans="1:14">
      <c r="C82" s="64" t="s">
        <v>144</v>
      </c>
      <c r="D82" s="143">
        <f>SUM(D6:D81)</f>
        <v>59967.15890362933</v>
      </c>
      <c r="E82" s="76">
        <f>SUM(E6:E81)</f>
        <v>5549.6407587071353</v>
      </c>
      <c r="F82" s="144">
        <f>E82/D82</f>
        <v>9.2544667117308771E-2</v>
      </c>
      <c r="G82" s="76"/>
      <c r="H82" s="76"/>
      <c r="I82" s="76"/>
      <c r="J82" s="145">
        <f>SUM(J6:J81)</f>
        <v>17391.353761360551</v>
      </c>
      <c r="K82" s="146">
        <f t="shared" si="9"/>
        <v>0.29001463599950528</v>
      </c>
    </row>
    <row r="83" spans="1:14">
      <c r="D83" s="162">
        <f>D82*366</f>
        <v>21947980.158728335</v>
      </c>
      <c r="E83" s="162">
        <f>E82*366</f>
        <v>2031168.5176868115</v>
      </c>
    </row>
    <row r="84" spans="1:14">
      <c r="A84" s="165" t="s">
        <v>238</v>
      </c>
      <c r="B84" s="166"/>
      <c r="D84" s="6"/>
      <c r="G84" s="9"/>
      <c r="H84" s="41"/>
      <c r="J84" s="7"/>
      <c r="K84" s="9"/>
      <c r="N84" s="73"/>
    </row>
    <row r="85" spans="1:14">
      <c r="B85" s="41" t="s">
        <v>243</v>
      </c>
      <c r="D85" s="6"/>
      <c r="E85" s="6"/>
      <c r="F85" s="6"/>
      <c r="G85" s="46">
        <f>D82</f>
        <v>59967.15890362933</v>
      </c>
      <c r="H85" s="46" t="s">
        <v>244</v>
      </c>
      <c r="I85" s="9"/>
      <c r="J85" s="7"/>
      <c r="K85" s="9"/>
      <c r="N85" s="73"/>
    </row>
    <row r="86" spans="1:14">
      <c r="B86" s="41" t="s">
        <v>246</v>
      </c>
      <c r="D86" s="6"/>
      <c r="E86" s="6"/>
      <c r="F86" s="6"/>
      <c r="G86" s="46">
        <f>E82</f>
        <v>5549.6407587071353</v>
      </c>
      <c r="H86" s="46" t="s">
        <v>244</v>
      </c>
      <c r="I86" s="168">
        <f>G86/G85</f>
        <v>9.2544667117308771E-2</v>
      </c>
      <c r="J86" s="7"/>
      <c r="K86" s="9"/>
      <c r="N86" s="73"/>
    </row>
    <row r="87" spans="1:14">
      <c r="B87" s="41" t="s">
        <v>247</v>
      </c>
      <c r="D87" s="6"/>
      <c r="E87" s="6"/>
      <c r="F87" s="6"/>
      <c r="G87" s="46">
        <f>J82</f>
        <v>17391.353761360551</v>
      </c>
      <c r="H87" s="46" t="s">
        <v>244</v>
      </c>
      <c r="I87" s="168">
        <f>G87/G85</f>
        <v>0.29001463599950528</v>
      </c>
      <c r="J87" s="7"/>
      <c r="K87" s="9"/>
      <c r="N87" s="73"/>
    </row>
    <row r="88" spans="1:14" s="52" customFormat="1">
      <c r="A88" s="101"/>
      <c r="B88" s="169" t="s">
        <v>245</v>
      </c>
      <c r="C88" s="102"/>
      <c r="D88" s="103"/>
      <c r="E88" s="104"/>
      <c r="F88" s="105"/>
      <c r="G88" s="103"/>
      <c r="H88" s="103"/>
      <c r="I88" s="103"/>
      <c r="J88" s="103"/>
      <c r="K88" s="106"/>
    </row>
    <row r="89" spans="1:14">
      <c r="D89" s="162">
        <f>D83/1000000</f>
        <v>21.947980158728335</v>
      </c>
      <c r="E89" s="162">
        <f>E83/1000000</f>
        <v>2.0311685176868117</v>
      </c>
    </row>
    <row r="91" spans="1:14">
      <c r="A91" s="40" t="s">
        <v>145</v>
      </c>
    </row>
    <row r="92" spans="1:14">
      <c r="A92" s="148" t="s">
        <v>233</v>
      </c>
      <c r="B92" s="41" t="s">
        <v>234</v>
      </c>
    </row>
    <row r="93" spans="1:14" s="41" customFormat="1">
      <c r="A93" s="41" t="s">
        <v>229</v>
      </c>
      <c r="D93" s="42"/>
      <c r="E93" s="42"/>
      <c r="F93" s="42"/>
      <c r="G93" s="6"/>
      <c r="J93" s="42"/>
    </row>
    <row r="94" spans="1:14">
      <c r="C94" s="41" t="s">
        <v>203</v>
      </c>
      <c r="D94" s="41"/>
      <c r="E94" s="46" t="s">
        <v>228</v>
      </c>
    </row>
    <row r="95" spans="1:14">
      <c r="A95" s="6"/>
      <c r="B95" s="6"/>
      <c r="C95" s="6" t="s">
        <v>204</v>
      </c>
      <c r="D95" s="41"/>
      <c r="E95" s="141">
        <v>1.89E-3</v>
      </c>
      <c r="F95" s="6"/>
      <c r="G95" s="140"/>
    </row>
    <row r="96" spans="1:14">
      <c r="A96" s="6"/>
      <c r="B96" s="6"/>
      <c r="C96" s="6" t="s">
        <v>205</v>
      </c>
      <c r="D96" s="41"/>
      <c r="E96" s="141">
        <v>1.15E-3</v>
      </c>
      <c r="F96" s="6"/>
      <c r="G96" s="140"/>
    </row>
    <row r="97" spans="1:10">
      <c r="A97" s="6"/>
      <c r="B97" s="6"/>
      <c r="C97" s="6" t="s">
        <v>206</v>
      </c>
      <c r="D97" s="41"/>
      <c r="E97" s="141">
        <v>1.0200000000000001E-3</v>
      </c>
      <c r="F97" s="6"/>
      <c r="G97" s="140"/>
    </row>
    <row r="98" spans="1:10">
      <c r="A98" s="6"/>
      <c r="B98" s="6"/>
      <c r="C98" s="43" t="s">
        <v>207</v>
      </c>
      <c r="D98" s="41"/>
      <c r="E98" s="141">
        <v>3.8999999999999998E-3</v>
      </c>
      <c r="F98" s="6"/>
      <c r="G98" s="140"/>
    </row>
    <row r="99" spans="1:10">
      <c r="A99" s="6"/>
      <c r="B99" s="6"/>
      <c r="C99" s="44" t="s">
        <v>208</v>
      </c>
      <c r="D99" s="41"/>
      <c r="E99" s="141">
        <v>9.1E-4</v>
      </c>
      <c r="F99" s="6"/>
      <c r="G99" s="140"/>
    </row>
    <row r="100" spans="1:10">
      <c r="A100" s="125" t="s">
        <v>209</v>
      </c>
      <c r="D100" s="6"/>
    </row>
    <row r="101" spans="1:10" ht="24">
      <c r="A101" s="125" t="s">
        <v>210</v>
      </c>
      <c r="F101" s="46" t="s">
        <v>152</v>
      </c>
      <c r="G101" s="126" t="s">
        <v>226</v>
      </c>
      <c r="H101" s="48"/>
      <c r="I101" s="48"/>
      <c r="J101" s="49"/>
    </row>
    <row r="102" spans="1:10" s="41" customFormat="1">
      <c r="B102" s="125"/>
      <c r="D102" s="42"/>
      <c r="E102" s="42"/>
      <c r="F102" s="42"/>
      <c r="G102" s="6" t="s">
        <v>227</v>
      </c>
      <c r="J102" s="42"/>
    </row>
  </sheetData>
  <mergeCells count="12">
    <mergeCell ref="J4:J5"/>
    <mergeCell ref="K4:K5"/>
    <mergeCell ref="E3:K3"/>
    <mergeCell ref="H2:J2"/>
    <mergeCell ref="A4:A5"/>
    <mergeCell ref="B4:B5"/>
    <mergeCell ref="C4:C5"/>
    <mergeCell ref="D4:D5"/>
    <mergeCell ref="E4:E5"/>
    <mergeCell ref="F4:F5"/>
    <mergeCell ref="G4:G5"/>
    <mergeCell ref="H4:I4"/>
  </mergeCells>
  <printOptions horizontalCentered="1"/>
  <pageMargins left="0" right="0" top="0.39370078740157483" bottom="0.19685039370078741" header="0.31496062992125984" footer="0.31496062992125984"/>
  <pageSetup paperSize="9" scale="80"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dimension ref="A1:J100"/>
  <sheetViews>
    <sheetView topLeftCell="A79" zoomScale="75" zoomScaleNormal="75" workbookViewId="0">
      <selection activeCell="H94" sqref="H94"/>
    </sheetView>
  </sheetViews>
  <sheetFormatPr defaultRowHeight="21.75"/>
  <cols>
    <col min="1" max="2" width="4.625" style="7" customWidth="1"/>
    <col min="3" max="3" width="13.625" style="6" customWidth="1"/>
    <col min="4" max="4" width="35.625" style="42" customWidth="1"/>
    <col min="5" max="5" width="35.625" style="149" customWidth="1"/>
    <col min="6" max="16384" width="9" style="6"/>
  </cols>
  <sheetData>
    <row r="1" spans="1:5">
      <c r="A1" s="127" t="s">
        <v>212</v>
      </c>
      <c r="B1" s="128"/>
      <c r="C1" s="129"/>
      <c r="D1" s="130"/>
      <c r="E1" s="158"/>
    </row>
    <row r="2" spans="1:5">
      <c r="B2" s="6"/>
    </row>
    <row r="3" spans="1:5">
      <c r="D3" s="204" t="s">
        <v>237</v>
      </c>
      <c r="E3" s="204"/>
    </row>
    <row r="4" spans="1:5" s="147" customFormat="1" ht="43.5">
      <c r="A4" s="111" t="s">
        <v>1</v>
      </c>
      <c r="B4" s="160" t="s">
        <v>2</v>
      </c>
      <c r="C4" s="111" t="s">
        <v>3</v>
      </c>
      <c r="D4" s="151" t="s">
        <v>235</v>
      </c>
      <c r="E4" s="157" t="s">
        <v>236</v>
      </c>
    </row>
    <row r="5" spans="1:5">
      <c r="A5" s="80">
        <v>1</v>
      </c>
      <c r="B5" s="34">
        <v>1</v>
      </c>
      <c r="C5" s="12" t="s">
        <v>12</v>
      </c>
      <c r="D5" s="134" t="s">
        <v>168</v>
      </c>
      <c r="E5" s="20" t="s">
        <v>167</v>
      </c>
    </row>
    <row r="6" spans="1:5">
      <c r="A6" s="80">
        <f>A5+1</f>
        <v>2</v>
      </c>
      <c r="B6" s="11"/>
      <c r="C6" s="12" t="s">
        <v>16</v>
      </c>
      <c r="D6" s="134" t="s">
        <v>168</v>
      </c>
      <c r="E6" s="20" t="s">
        <v>167</v>
      </c>
    </row>
    <row r="7" spans="1:5">
      <c r="A7" s="80">
        <f t="shared" ref="A7:A70" si="0">A6+1</f>
        <v>3</v>
      </c>
      <c r="B7" s="11"/>
      <c r="C7" s="12" t="s">
        <v>17</v>
      </c>
      <c r="D7" s="134" t="s">
        <v>168</v>
      </c>
      <c r="E7" s="20" t="s">
        <v>167</v>
      </c>
    </row>
    <row r="8" spans="1:5">
      <c r="A8" s="80">
        <f t="shared" si="0"/>
        <v>4</v>
      </c>
      <c r="B8" s="31"/>
      <c r="C8" s="12" t="s">
        <v>18</v>
      </c>
      <c r="D8" s="134" t="s">
        <v>168</v>
      </c>
      <c r="E8" s="20" t="s">
        <v>167</v>
      </c>
    </row>
    <row r="9" spans="1:5">
      <c r="A9" s="80">
        <f t="shared" si="0"/>
        <v>5</v>
      </c>
      <c r="B9" s="34">
        <v>2</v>
      </c>
      <c r="C9" s="12" t="s">
        <v>20</v>
      </c>
      <c r="D9" s="131">
        <f>66910.09/365</f>
        <v>183.31531506849313</v>
      </c>
      <c r="E9" s="152">
        <f t="shared" ref="E9:E66" si="1">D9*153</f>
        <v>28047.243205479448</v>
      </c>
    </row>
    <row r="10" spans="1:5">
      <c r="A10" s="80">
        <f t="shared" si="0"/>
        <v>6</v>
      </c>
      <c r="B10" s="11"/>
      <c r="C10" s="12" t="s">
        <v>21</v>
      </c>
      <c r="D10" s="131">
        <f>19585.5/153</f>
        <v>128.00980392156862</v>
      </c>
      <c r="E10" s="152">
        <f t="shared" si="1"/>
        <v>19585.5</v>
      </c>
    </row>
    <row r="11" spans="1:5">
      <c r="A11" s="80">
        <f t="shared" si="0"/>
        <v>7</v>
      </c>
      <c r="B11" s="11"/>
      <c r="C11" s="12" t="s">
        <v>171</v>
      </c>
      <c r="D11" s="131">
        <f>81.82</f>
        <v>81.819999999999993</v>
      </c>
      <c r="E11" s="152">
        <f t="shared" si="1"/>
        <v>12518.46</v>
      </c>
    </row>
    <row r="12" spans="1:5">
      <c r="A12" s="80">
        <f t="shared" si="0"/>
        <v>8</v>
      </c>
      <c r="B12" s="31"/>
      <c r="C12" s="12" t="s">
        <v>24</v>
      </c>
      <c r="D12" s="153">
        <f>125</f>
        <v>125</v>
      </c>
      <c r="E12" s="152">
        <f t="shared" si="1"/>
        <v>19125</v>
      </c>
    </row>
    <row r="13" spans="1:5">
      <c r="A13" s="80">
        <f t="shared" si="0"/>
        <v>9</v>
      </c>
      <c r="B13" s="34">
        <v>3</v>
      </c>
      <c r="C13" s="12" t="s">
        <v>25</v>
      </c>
      <c r="D13" s="134" t="s">
        <v>168</v>
      </c>
      <c r="E13" s="20" t="s">
        <v>167</v>
      </c>
    </row>
    <row r="14" spans="1:5">
      <c r="A14" s="80">
        <f t="shared" si="0"/>
        <v>10</v>
      </c>
      <c r="B14" s="11"/>
      <c r="C14" s="12" t="s">
        <v>27</v>
      </c>
      <c r="D14" s="134" t="s">
        <v>168</v>
      </c>
      <c r="E14" s="20" t="s">
        <v>167</v>
      </c>
    </row>
    <row r="15" spans="1:5">
      <c r="A15" s="80">
        <f t="shared" si="0"/>
        <v>11</v>
      </c>
      <c r="B15" s="11"/>
      <c r="C15" s="12" t="s">
        <v>29</v>
      </c>
      <c r="D15" s="134" t="s">
        <v>168</v>
      </c>
      <c r="E15" s="20" t="s">
        <v>167</v>
      </c>
    </row>
    <row r="16" spans="1:5">
      <c r="A16" s="80">
        <f t="shared" si="0"/>
        <v>12</v>
      </c>
      <c r="B16" s="31"/>
      <c r="C16" s="12" t="s">
        <v>30</v>
      </c>
      <c r="D16" s="134" t="s">
        <v>168</v>
      </c>
      <c r="E16" s="20" t="s">
        <v>167</v>
      </c>
    </row>
    <row r="17" spans="1:5">
      <c r="A17" s="82">
        <f t="shared" si="0"/>
        <v>13</v>
      </c>
      <c r="B17" s="21">
        <v>4</v>
      </c>
      <c r="C17" s="16" t="s">
        <v>31</v>
      </c>
      <c r="D17" s="132">
        <f>89786.35/365</f>
        <v>245.99</v>
      </c>
      <c r="E17" s="152">
        <f t="shared" si="1"/>
        <v>37636.47</v>
      </c>
    </row>
    <row r="18" spans="1:5">
      <c r="A18" s="82">
        <f t="shared" si="0"/>
        <v>14</v>
      </c>
      <c r="B18" s="17"/>
      <c r="C18" s="16" t="s">
        <v>33</v>
      </c>
      <c r="D18" s="132">
        <f>48384.7285/365</f>
        <v>132.5609</v>
      </c>
      <c r="E18" s="152">
        <f t="shared" si="1"/>
        <v>20281.8177</v>
      </c>
    </row>
    <row r="19" spans="1:5">
      <c r="A19" s="82">
        <f t="shared" si="0"/>
        <v>15</v>
      </c>
      <c r="B19" s="17"/>
      <c r="C19" s="16" t="s">
        <v>35</v>
      </c>
      <c r="D19" s="132">
        <f>55247.64465/365</f>
        <v>151.36341000000002</v>
      </c>
      <c r="E19" s="152">
        <f t="shared" si="1"/>
        <v>23158.601730000002</v>
      </c>
    </row>
    <row r="20" spans="1:5">
      <c r="A20" s="82">
        <f t="shared" si="0"/>
        <v>16</v>
      </c>
      <c r="B20" s="17"/>
      <c r="C20" s="16" t="s">
        <v>37</v>
      </c>
      <c r="D20" s="132">
        <f>15245.1521/365</f>
        <v>41.767539999999997</v>
      </c>
      <c r="E20" s="152">
        <f t="shared" si="1"/>
        <v>6390.4336199999998</v>
      </c>
    </row>
    <row r="21" spans="1:5">
      <c r="A21" s="80">
        <f t="shared" si="0"/>
        <v>17</v>
      </c>
      <c r="B21" s="34">
        <v>5</v>
      </c>
      <c r="C21" s="19" t="s">
        <v>39</v>
      </c>
      <c r="D21" s="133">
        <f>56396.15/365</f>
        <v>154.51</v>
      </c>
      <c r="E21" s="152">
        <f t="shared" si="1"/>
        <v>23640.03</v>
      </c>
    </row>
    <row r="22" spans="1:5">
      <c r="A22" s="80">
        <f>A21+1</f>
        <v>18</v>
      </c>
      <c r="B22" s="11"/>
      <c r="C22" s="19" t="s">
        <v>41</v>
      </c>
      <c r="D22" s="133">
        <f>54608.8399/365</f>
        <v>149.61326</v>
      </c>
      <c r="E22" s="152">
        <f t="shared" si="1"/>
        <v>22890.82878</v>
      </c>
    </row>
    <row r="23" spans="1:5">
      <c r="A23" s="80">
        <f>A22+1</f>
        <v>19</v>
      </c>
      <c r="B23" s="11"/>
      <c r="C23" s="19" t="s">
        <v>42</v>
      </c>
      <c r="D23" s="133">
        <f>54987.25/365</f>
        <v>150.65</v>
      </c>
      <c r="E23" s="152">
        <f t="shared" si="1"/>
        <v>23049.45</v>
      </c>
    </row>
    <row r="24" spans="1:5">
      <c r="A24" s="80">
        <f t="shared" si="0"/>
        <v>20</v>
      </c>
      <c r="B24" s="31"/>
      <c r="C24" s="19" t="s">
        <v>45</v>
      </c>
      <c r="D24" s="133">
        <f>60743.3/365</f>
        <v>166.42000000000002</v>
      </c>
      <c r="E24" s="152">
        <f t="shared" si="1"/>
        <v>25462.260000000002</v>
      </c>
    </row>
    <row r="25" spans="1:5">
      <c r="A25" s="80">
        <f t="shared" si="0"/>
        <v>21</v>
      </c>
      <c r="B25" s="34">
        <v>6</v>
      </c>
      <c r="C25" s="12" t="s">
        <v>181</v>
      </c>
      <c r="D25" s="134" t="s">
        <v>168</v>
      </c>
      <c r="E25" s="20" t="s">
        <v>167</v>
      </c>
    </row>
    <row r="26" spans="1:5">
      <c r="A26" s="80">
        <f t="shared" si="0"/>
        <v>22</v>
      </c>
      <c r="B26" s="11"/>
      <c r="C26" s="12" t="s">
        <v>49</v>
      </c>
      <c r="D26" s="134" t="s">
        <v>168</v>
      </c>
      <c r="E26" s="20" t="s">
        <v>167</v>
      </c>
    </row>
    <row r="27" spans="1:5">
      <c r="A27" s="80">
        <f t="shared" si="0"/>
        <v>23</v>
      </c>
      <c r="B27" s="11"/>
      <c r="C27" s="12" t="s">
        <v>50</v>
      </c>
      <c r="D27" s="134" t="s">
        <v>168</v>
      </c>
      <c r="E27" s="20" t="s">
        <v>167</v>
      </c>
    </row>
    <row r="28" spans="1:5">
      <c r="A28" s="80">
        <f t="shared" si="0"/>
        <v>24</v>
      </c>
      <c r="B28" s="11"/>
      <c r="C28" s="12" t="s">
        <v>51</v>
      </c>
      <c r="D28" s="134" t="s">
        <v>168</v>
      </c>
      <c r="E28" s="20" t="s">
        <v>167</v>
      </c>
    </row>
    <row r="29" spans="1:5">
      <c r="A29" s="80">
        <f t="shared" si="0"/>
        <v>25</v>
      </c>
      <c r="B29" s="11"/>
      <c r="C29" s="12" t="s">
        <v>53</v>
      </c>
      <c r="D29" s="134" t="s">
        <v>168</v>
      </c>
      <c r="E29" s="20" t="s">
        <v>167</v>
      </c>
    </row>
    <row r="30" spans="1:5">
      <c r="A30" s="80">
        <f t="shared" si="0"/>
        <v>26</v>
      </c>
      <c r="B30" s="31"/>
      <c r="C30" s="12" t="s">
        <v>55</v>
      </c>
      <c r="D30" s="134" t="s">
        <v>168</v>
      </c>
      <c r="E30" s="20" t="s">
        <v>167</v>
      </c>
    </row>
    <row r="31" spans="1:5">
      <c r="A31" s="80">
        <f t="shared" si="0"/>
        <v>27</v>
      </c>
      <c r="B31" s="34">
        <v>7</v>
      </c>
      <c r="C31" s="12" t="s">
        <v>57</v>
      </c>
      <c r="D31" s="154">
        <v>68.61</v>
      </c>
      <c r="E31" s="152">
        <f t="shared" si="1"/>
        <v>10497.33</v>
      </c>
    </row>
    <row r="32" spans="1:5">
      <c r="A32" s="80">
        <f t="shared" si="0"/>
        <v>28</v>
      </c>
      <c r="B32" s="11"/>
      <c r="C32" s="12" t="s">
        <v>59</v>
      </c>
      <c r="D32" s="155">
        <f>12818.15/153</f>
        <v>83.778758169934633</v>
      </c>
      <c r="E32" s="152">
        <f t="shared" si="1"/>
        <v>12818.15</v>
      </c>
    </row>
    <row r="33" spans="1:5">
      <c r="A33" s="80">
        <f t="shared" si="0"/>
        <v>29</v>
      </c>
      <c r="B33" s="11"/>
      <c r="C33" s="12" t="s">
        <v>60</v>
      </c>
      <c r="D33" s="154">
        <f>46355/365</f>
        <v>127</v>
      </c>
      <c r="E33" s="152">
        <f t="shared" si="1"/>
        <v>19431</v>
      </c>
    </row>
    <row r="34" spans="1:5">
      <c r="A34" s="80">
        <f t="shared" si="0"/>
        <v>30</v>
      </c>
      <c r="B34" s="11"/>
      <c r="C34" s="12" t="s">
        <v>62</v>
      </c>
      <c r="D34" s="134" t="s">
        <v>168</v>
      </c>
      <c r="E34" s="20" t="s">
        <v>167</v>
      </c>
    </row>
    <row r="35" spans="1:5">
      <c r="A35" s="80">
        <f t="shared" si="0"/>
        <v>31</v>
      </c>
      <c r="B35" s="11"/>
      <c r="C35" s="12" t="s">
        <v>64</v>
      </c>
      <c r="D35" s="154">
        <f>18.79</f>
        <v>18.79</v>
      </c>
      <c r="E35" s="152">
        <f t="shared" si="1"/>
        <v>2874.87</v>
      </c>
    </row>
    <row r="36" spans="1:5">
      <c r="A36" s="80">
        <f t="shared" si="0"/>
        <v>32</v>
      </c>
      <c r="B36" s="34">
        <v>8</v>
      </c>
      <c r="C36" s="12" t="s">
        <v>66</v>
      </c>
      <c r="D36" s="131">
        <f>65.7</f>
        <v>65.7</v>
      </c>
      <c r="E36" s="152">
        <f t="shared" si="1"/>
        <v>10052.1</v>
      </c>
    </row>
    <row r="37" spans="1:5">
      <c r="A37" s="80">
        <f>A36+1</f>
        <v>33</v>
      </c>
      <c r="B37" s="11"/>
      <c r="C37" s="12" t="s">
        <v>68</v>
      </c>
      <c r="D37" s="134" t="s">
        <v>168</v>
      </c>
      <c r="E37" s="20" t="s">
        <v>167</v>
      </c>
    </row>
    <row r="38" spans="1:5">
      <c r="A38" s="80">
        <f t="shared" si="0"/>
        <v>34</v>
      </c>
      <c r="B38" s="11"/>
      <c r="C38" s="12" t="s">
        <v>188</v>
      </c>
      <c r="D38" s="134" t="s">
        <v>168</v>
      </c>
      <c r="E38" s="20" t="s">
        <v>167</v>
      </c>
    </row>
    <row r="39" spans="1:5">
      <c r="A39" s="80">
        <f t="shared" si="0"/>
        <v>35</v>
      </c>
      <c r="B39" s="11"/>
      <c r="C39" s="12" t="s">
        <v>70</v>
      </c>
      <c r="D39" s="134" t="s">
        <v>168</v>
      </c>
      <c r="E39" s="20" t="s">
        <v>167</v>
      </c>
    </row>
    <row r="40" spans="1:5">
      <c r="A40" s="80">
        <f t="shared" si="0"/>
        <v>36</v>
      </c>
      <c r="B40" s="31"/>
      <c r="C40" s="12" t="s">
        <v>71</v>
      </c>
      <c r="D40" s="134" t="s">
        <v>168</v>
      </c>
      <c r="E40" s="20" t="s">
        <v>167</v>
      </c>
    </row>
    <row r="41" spans="1:5">
      <c r="A41" s="80">
        <f t="shared" si="0"/>
        <v>37</v>
      </c>
      <c r="B41" s="34">
        <v>9</v>
      </c>
      <c r="C41" s="12" t="s">
        <v>72</v>
      </c>
      <c r="D41" s="134" t="s">
        <v>168</v>
      </c>
      <c r="E41" s="20" t="s">
        <v>167</v>
      </c>
    </row>
    <row r="42" spans="1:5">
      <c r="A42" s="80">
        <f t="shared" si="0"/>
        <v>38</v>
      </c>
      <c r="B42" s="11"/>
      <c r="C42" s="12" t="s">
        <v>73</v>
      </c>
      <c r="D42" s="134" t="s">
        <v>168</v>
      </c>
      <c r="E42" s="20" t="s">
        <v>167</v>
      </c>
    </row>
    <row r="43" spans="1:5">
      <c r="A43" s="80">
        <f t="shared" si="0"/>
        <v>39</v>
      </c>
      <c r="B43" s="11"/>
      <c r="C43" s="12" t="s">
        <v>75</v>
      </c>
      <c r="D43" s="159">
        <f>70130.25/365</f>
        <v>192.1376712328767</v>
      </c>
      <c r="E43" s="152">
        <f t="shared" si="1"/>
        <v>29397.063698630136</v>
      </c>
    </row>
    <row r="44" spans="1:5">
      <c r="A44" s="80">
        <f t="shared" si="0"/>
        <v>40</v>
      </c>
      <c r="B44" s="11"/>
      <c r="C44" s="12" t="s">
        <v>77</v>
      </c>
      <c r="D44" s="134" t="s">
        <v>168</v>
      </c>
      <c r="E44" s="20" t="s">
        <v>167</v>
      </c>
    </row>
    <row r="45" spans="1:5">
      <c r="A45" s="80">
        <f t="shared" si="0"/>
        <v>41</v>
      </c>
      <c r="B45" s="11"/>
      <c r="C45" s="12" t="s">
        <v>79</v>
      </c>
      <c r="D45" s="134" t="s">
        <v>168</v>
      </c>
      <c r="E45" s="20" t="s">
        <v>167</v>
      </c>
    </row>
    <row r="46" spans="1:5">
      <c r="A46" s="80">
        <f t="shared" si="0"/>
        <v>42</v>
      </c>
      <c r="B46" s="31"/>
      <c r="C46" s="12" t="s">
        <v>81</v>
      </c>
      <c r="D46" s="134" t="s">
        <v>168</v>
      </c>
      <c r="E46" s="20" t="s">
        <v>167</v>
      </c>
    </row>
    <row r="47" spans="1:5">
      <c r="A47" s="80">
        <f t="shared" si="0"/>
        <v>43</v>
      </c>
      <c r="B47" s="34">
        <v>10</v>
      </c>
      <c r="C47" s="12" t="s">
        <v>83</v>
      </c>
      <c r="D47" s="134" t="s">
        <v>168</v>
      </c>
      <c r="E47" s="20" t="s">
        <v>167</v>
      </c>
    </row>
    <row r="48" spans="1:5">
      <c r="A48" s="80">
        <f t="shared" si="0"/>
        <v>44</v>
      </c>
      <c r="B48" s="11"/>
      <c r="C48" s="12" t="s">
        <v>85</v>
      </c>
      <c r="D48" s="131">
        <f>5854/153</f>
        <v>38.261437908496731</v>
      </c>
      <c r="E48" s="152">
        <f t="shared" si="1"/>
        <v>5854</v>
      </c>
    </row>
    <row r="49" spans="1:5">
      <c r="A49" s="80">
        <f>A48+1</f>
        <v>45</v>
      </c>
      <c r="B49" s="11"/>
      <c r="C49" s="12" t="s">
        <v>87</v>
      </c>
      <c r="D49" s="134" t="s">
        <v>168</v>
      </c>
      <c r="E49" s="20" t="s">
        <v>167</v>
      </c>
    </row>
    <row r="50" spans="1:5">
      <c r="A50" s="80">
        <f t="shared" si="0"/>
        <v>46</v>
      </c>
      <c r="B50" s="11"/>
      <c r="C50" s="12" t="s">
        <v>89</v>
      </c>
      <c r="D50" s="134" t="s">
        <v>168</v>
      </c>
      <c r="E50" s="20" t="s">
        <v>167</v>
      </c>
    </row>
    <row r="51" spans="1:5">
      <c r="A51" s="80">
        <f t="shared" si="0"/>
        <v>47</v>
      </c>
      <c r="B51" s="11"/>
      <c r="C51" s="12" t="s">
        <v>91</v>
      </c>
      <c r="D51" s="134" t="s">
        <v>168</v>
      </c>
      <c r="E51" s="20" t="s">
        <v>167</v>
      </c>
    </row>
    <row r="52" spans="1:5">
      <c r="A52" s="80">
        <f t="shared" si="0"/>
        <v>48</v>
      </c>
      <c r="B52" s="34">
        <v>11</v>
      </c>
      <c r="C52" s="12" t="s">
        <v>93</v>
      </c>
      <c r="D52" s="134" t="s">
        <v>168</v>
      </c>
      <c r="E52" s="20" t="s">
        <v>167</v>
      </c>
    </row>
    <row r="53" spans="1:5">
      <c r="A53" s="80">
        <f t="shared" si="0"/>
        <v>49</v>
      </c>
      <c r="B53" s="11"/>
      <c r="C53" s="12" t="s">
        <v>95</v>
      </c>
      <c r="D53" s="134" t="s">
        <v>168</v>
      </c>
      <c r="E53" s="20" t="s">
        <v>167</v>
      </c>
    </row>
    <row r="54" spans="1:5">
      <c r="A54" s="80">
        <f t="shared" si="0"/>
        <v>50</v>
      </c>
      <c r="B54" s="11"/>
      <c r="C54" s="12" t="s">
        <v>96</v>
      </c>
      <c r="D54" s="134" t="s">
        <v>168</v>
      </c>
      <c r="E54" s="20" t="s">
        <v>167</v>
      </c>
    </row>
    <row r="55" spans="1:5">
      <c r="A55" s="80">
        <f t="shared" si="0"/>
        <v>51</v>
      </c>
      <c r="B55" s="11"/>
      <c r="C55" s="12" t="s">
        <v>97</v>
      </c>
      <c r="D55" s="134" t="s">
        <v>168</v>
      </c>
      <c r="E55" s="20" t="s">
        <v>167</v>
      </c>
    </row>
    <row r="56" spans="1:5" ht="108.75">
      <c r="A56" s="80">
        <f t="shared" si="0"/>
        <v>52</v>
      </c>
      <c r="B56" s="34">
        <v>12</v>
      </c>
      <c r="C56" s="12" t="s">
        <v>98</v>
      </c>
      <c r="D56" s="131" t="s">
        <v>213</v>
      </c>
      <c r="E56" s="20" t="s">
        <v>167</v>
      </c>
    </row>
    <row r="57" spans="1:5" ht="130.5">
      <c r="A57" s="80">
        <f>A56+1</f>
        <v>53</v>
      </c>
      <c r="B57" s="11"/>
      <c r="C57" s="12" t="s">
        <v>100</v>
      </c>
      <c r="D57" s="131" t="s">
        <v>214</v>
      </c>
      <c r="E57" s="20" t="s">
        <v>167</v>
      </c>
    </row>
    <row r="58" spans="1:5" s="147" customFormat="1" ht="174">
      <c r="A58" s="80">
        <f>A57+1</f>
        <v>54</v>
      </c>
      <c r="B58" s="161"/>
      <c r="C58" s="12" t="s">
        <v>103</v>
      </c>
      <c r="D58" s="55" t="s">
        <v>231</v>
      </c>
      <c r="E58" s="20" t="s">
        <v>167</v>
      </c>
    </row>
    <row r="59" spans="1:5" ht="43.5">
      <c r="A59" s="80">
        <f>A58+1</f>
        <v>55</v>
      </c>
      <c r="B59" s="11"/>
      <c r="C59" s="12" t="s">
        <v>106</v>
      </c>
      <c r="D59" s="131" t="s">
        <v>215</v>
      </c>
      <c r="E59" s="20" t="s">
        <v>167</v>
      </c>
    </row>
    <row r="60" spans="1:5" ht="130.5">
      <c r="A60" s="80">
        <f>A59+1</f>
        <v>56</v>
      </c>
      <c r="B60" s="11"/>
      <c r="C60" s="12" t="s">
        <v>108</v>
      </c>
      <c r="D60" s="131" t="s">
        <v>105</v>
      </c>
      <c r="E60" s="20" t="s">
        <v>167</v>
      </c>
    </row>
    <row r="61" spans="1:5">
      <c r="A61" s="80">
        <f t="shared" si="0"/>
        <v>57</v>
      </c>
      <c r="B61" s="34">
        <v>13</v>
      </c>
      <c r="C61" s="12" t="s">
        <v>111</v>
      </c>
      <c r="D61" s="134" t="s">
        <v>168</v>
      </c>
      <c r="E61" s="20" t="s">
        <v>167</v>
      </c>
    </row>
    <row r="62" spans="1:5">
      <c r="A62" s="80">
        <f t="shared" si="0"/>
        <v>58</v>
      </c>
      <c r="B62" s="11"/>
      <c r="C62" s="12" t="s">
        <v>113</v>
      </c>
      <c r="D62" s="131">
        <v>55.16</v>
      </c>
      <c r="E62" s="152">
        <f t="shared" si="1"/>
        <v>8439.48</v>
      </c>
    </row>
    <row r="63" spans="1:5">
      <c r="A63" s="80">
        <f t="shared" si="0"/>
        <v>59</v>
      </c>
      <c r="B63" s="11"/>
      <c r="C63" s="12" t="s">
        <v>115</v>
      </c>
      <c r="D63" s="135">
        <v>747.84</v>
      </c>
      <c r="E63" s="152">
        <f t="shared" si="1"/>
        <v>114419.52</v>
      </c>
    </row>
    <row r="64" spans="1:5">
      <c r="A64" s="80">
        <f>A63+1</f>
        <v>60</v>
      </c>
      <c r="B64" s="11"/>
      <c r="C64" s="12" t="s">
        <v>117</v>
      </c>
      <c r="D64" s="134" t="s">
        <v>168</v>
      </c>
      <c r="E64" s="20" t="s">
        <v>167</v>
      </c>
    </row>
    <row r="65" spans="1:5">
      <c r="A65" s="80">
        <f t="shared" si="0"/>
        <v>61</v>
      </c>
      <c r="B65" s="11"/>
      <c r="C65" s="12" t="s">
        <v>118</v>
      </c>
      <c r="D65" s="134" t="s">
        <v>168</v>
      </c>
      <c r="E65" s="20" t="s">
        <v>167</v>
      </c>
    </row>
    <row r="66" spans="1:5">
      <c r="A66" s="80">
        <f t="shared" si="0"/>
        <v>62</v>
      </c>
      <c r="B66" s="31"/>
      <c r="C66" s="12" t="s">
        <v>120</v>
      </c>
      <c r="D66" s="136">
        <v>12.65</v>
      </c>
      <c r="E66" s="152">
        <f t="shared" si="1"/>
        <v>1935.45</v>
      </c>
    </row>
    <row r="67" spans="1:5">
      <c r="A67" s="80">
        <f t="shared" si="0"/>
        <v>63</v>
      </c>
      <c r="B67" s="34">
        <v>14</v>
      </c>
      <c r="C67" s="12" t="s">
        <v>121</v>
      </c>
      <c r="D67" s="134" t="s">
        <v>168</v>
      </c>
      <c r="E67" s="20" t="s">
        <v>167</v>
      </c>
    </row>
    <row r="68" spans="1:5">
      <c r="A68" s="80">
        <f t="shared" si="0"/>
        <v>64</v>
      </c>
      <c r="B68" s="11"/>
      <c r="C68" s="12" t="s">
        <v>123</v>
      </c>
      <c r="D68" s="131" t="s">
        <v>168</v>
      </c>
      <c r="E68" s="20" t="s">
        <v>167</v>
      </c>
    </row>
    <row r="69" spans="1:5">
      <c r="A69" s="80">
        <f t="shared" si="0"/>
        <v>65</v>
      </c>
      <c r="B69" s="11"/>
      <c r="C69" s="12" t="s">
        <v>124</v>
      </c>
      <c r="D69" s="131" t="s">
        <v>168</v>
      </c>
      <c r="E69" s="20" t="s">
        <v>167</v>
      </c>
    </row>
    <row r="70" spans="1:5">
      <c r="A70" s="80">
        <f t="shared" si="0"/>
        <v>66</v>
      </c>
      <c r="B70" s="31"/>
      <c r="C70" s="12" t="s">
        <v>125</v>
      </c>
      <c r="D70" s="134" t="s">
        <v>168</v>
      </c>
      <c r="E70" s="20" t="s">
        <v>167</v>
      </c>
    </row>
    <row r="71" spans="1:5">
      <c r="A71" s="80">
        <f t="shared" ref="A71:A80" si="2">A70+1</f>
        <v>67</v>
      </c>
      <c r="B71" s="34">
        <v>15</v>
      </c>
      <c r="C71" s="12" t="s">
        <v>127</v>
      </c>
      <c r="D71" s="137">
        <f>12237.52/153</f>
        <v>79.983790849673198</v>
      </c>
      <c r="E71" s="152">
        <f t="shared" ref="E71:E81" si="3">D71*153</f>
        <v>12237.519999999999</v>
      </c>
    </row>
    <row r="72" spans="1:5">
      <c r="A72" s="80">
        <f t="shared" si="2"/>
        <v>68</v>
      </c>
      <c r="B72" s="11"/>
      <c r="C72" s="12" t="s">
        <v>128</v>
      </c>
      <c r="D72" s="137">
        <f>36844.8/153</f>
        <v>240.81568627450983</v>
      </c>
      <c r="E72" s="152">
        <f t="shared" si="3"/>
        <v>36844.800000000003</v>
      </c>
    </row>
    <row r="73" spans="1:5">
      <c r="A73" s="80">
        <f t="shared" si="2"/>
        <v>69</v>
      </c>
      <c r="B73" s="11"/>
      <c r="C73" s="12" t="s">
        <v>130</v>
      </c>
      <c r="D73" s="137">
        <f>13325.3860821918/153</f>
        <v>87.094026680992158</v>
      </c>
      <c r="E73" s="152">
        <f t="shared" si="3"/>
        <v>13325.386082191801</v>
      </c>
    </row>
    <row r="74" spans="1:5">
      <c r="A74" s="80">
        <f t="shared" si="2"/>
        <v>70</v>
      </c>
      <c r="B74" s="11"/>
      <c r="C74" s="12" t="s">
        <v>132</v>
      </c>
      <c r="D74" s="137">
        <f>21010.96/153</f>
        <v>137.32653594771242</v>
      </c>
      <c r="E74" s="152">
        <f t="shared" si="3"/>
        <v>21010.959999999999</v>
      </c>
    </row>
    <row r="75" spans="1:5">
      <c r="A75" s="80">
        <f t="shared" si="2"/>
        <v>71</v>
      </c>
      <c r="B75" s="11"/>
      <c r="C75" s="12" t="s">
        <v>134</v>
      </c>
      <c r="D75" s="137">
        <f>19834.48/153</f>
        <v>129.63712418300653</v>
      </c>
      <c r="E75" s="152">
        <f t="shared" si="3"/>
        <v>19834.48</v>
      </c>
    </row>
    <row r="76" spans="1:5">
      <c r="A76" s="80">
        <f t="shared" si="2"/>
        <v>72</v>
      </c>
      <c r="B76" s="34">
        <v>16</v>
      </c>
      <c r="C76" s="12" t="s">
        <v>136</v>
      </c>
      <c r="D76" s="131">
        <f>630.02</f>
        <v>630.02</v>
      </c>
      <c r="E76" s="152">
        <f t="shared" si="3"/>
        <v>96393.06</v>
      </c>
    </row>
    <row r="77" spans="1:5">
      <c r="A77" s="80">
        <f t="shared" si="2"/>
        <v>73</v>
      </c>
      <c r="B77" s="11"/>
      <c r="C77" s="12" t="s">
        <v>137</v>
      </c>
      <c r="D77" s="133">
        <f>378.33</f>
        <v>378.33</v>
      </c>
      <c r="E77" s="152">
        <f t="shared" si="3"/>
        <v>57884.49</v>
      </c>
    </row>
    <row r="78" spans="1:5">
      <c r="A78" s="80">
        <f t="shared" si="2"/>
        <v>74</v>
      </c>
      <c r="B78" s="11"/>
      <c r="C78" s="12" t="s">
        <v>139</v>
      </c>
      <c r="D78" s="137">
        <f>257.42</f>
        <v>257.42</v>
      </c>
      <c r="E78" s="152">
        <f t="shared" si="3"/>
        <v>39385.26</v>
      </c>
    </row>
    <row r="79" spans="1:5">
      <c r="A79" s="80">
        <f t="shared" si="2"/>
        <v>75</v>
      </c>
      <c r="B79" s="11"/>
      <c r="C79" s="12" t="s">
        <v>141</v>
      </c>
      <c r="D79" s="137">
        <f>207.35</f>
        <v>207.35</v>
      </c>
      <c r="E79" s="152">
        <f t="shared" si="3"/>
        <v>31724.55</v>
      </c>
    </row>
    <row r="80" spans="1:5">
      <c r="A80" s="80">
        <f t="shared" si="2"/>
        <v>76</v>
      </c>
      <c r="B80" s="31"/>
      <c r="C80" s="12" t="s">
        <v>142</v>
      </c>
      <c r="D80" s="133">
        <f>182.75</f>
        <v>182.75</v>
      </c>
      <c r="E80" s="152">
        <f t="shared" si="3"/>
        <v>27960.75</v>
      </c>
    </row>
    <row r="81" spans="1:10">
      <c r="A81" s="54"/>
      <c r="B81" s="70"/>
      <c r="C81" s="64" t="s">
        <v>144</v>
      </c>
      <c r="D81" s="156">
        <f>SUM(D5:D80)</f>
        <v>5451.6752602372644</v>
      </c>
      <c r="E81" s="152">
        <f t="shared" si="3"/>
        <v>834106.31481630146</v>
      </c>
    </row>
    <row r="84" spans="1:10">
      <c r="A84" s="40" t="s">
        <v>145</v>
      </c>
    </row>
    <row r="85" spans="1:10">
      <c r="A85" s="148" t="s">
        <v>233</v>
      </c>
      <c r="B85" s="41" t="s">
        <v>234</v>
      </c>
      <c r="D85" s="9"/>
      <c r="F85" s="9"/>
      <c r="H85" s="7"/>
      <c r="I85" s="7"/>
      <c r="J85" s="9"/>
    </row>
    <row r="86" spans="1:10" s="41" customFormat="1">
      <c r="A86" s="41" t="s">
        <v>229</v>
      </c>
      <c r="D86" s="42"/>
      <c r="E86" s="42"/>
      <c r="F86" s="42"/>
      <c r="G86" s="6"/>
    </row>
    <row r="87" spans="1:10">
      <c r="B87" s="41" t="s">
        <v>203</v>
      </c>
      <c r="D87" s="46" t="s">
        <v>228</v>
      </c>
      <c r="E87" s="6"/>
      <c r="F87" s="9"/>
    </row>
    <row r="88" spans="1:10">
      <c r="A88" s="6"/>
      <c r="B88" s="6" t="s">
        <v>204</v>
      </c>
      <c r="D88" s="141">
        <v>1.89E-3</v>
      </c>
      <c r="E88" s="6"/>
      <c r="G88" s="140"/>
    </row>
    <row r="89" spans="1:10">
      <c r="A89" s="6"/>
      <c r="B89" s="6" t="s">
        <v>205</v>
      </c>
      <c r="D89" s="141">
        <v>1.15E-3</v>
      </c>
      <c r="E89" s="6"/>
      <c r="G89" s="140"/>
    </row>
    <row r="90" spans="1:10">
      <c r="A90" s="6"/>
      <c r="B90" s="6" t="s">
        <v>206</v>
      </c>
      <c r="D90" s="141">
        <v>1.0200000000000001E-3</v>
      </c>
      <c r="E90" s="6"/>
      <c r="G90" s="140"/>
    </row>
    <row r="91" spans="1:10">
      <c r="A91" s="6"/>
      <c r="B91" s="43" t="s">
        <v>207</v>
      </c>
      <c r="D91" s="141">
        <v>3.8999999999999998E-3</v>
      </c>
      <c r="E91" s="6"/>
      <c r="G91" s="140"/>
    </row>
    <row r="92" spans="1:10">
      <c r="A92" s="6"/>
      <c r="B92" s="44" t="s">
        <v>208</v>
      </c>
      <c r="D92" s="141">
        <v>9.1E-4</v>
      </c>
      <c r="E92" s="6"/>
      <c r="G92" s="140"/>
    </row>
    <row r="93" spans="1:10">
      <c r="A93" s="41" t="s">
        <v>216</v>
      </c>
      <c r="B93" s="6"/>
      <c r="C93" s="44"/>
    </row>
    <row r="94" spans="1:10">
      <c r="A94" s="6" t="s">
        <v>217</v>
      </c>
      <c r="B94" s="6"/>
      <c r="C94" s="44"/>
    </row>
    <row r="95" spans="1:10">
      <c r="A95" s="6" t="s">
        <v>218</v>
      </c>
      <c r="B95" s="6"/>
      <c r="C95" s="44"/>
    </row>
    <row r="96" spans="1:10">
      <c r="A96" s="6" t="s">
        <v>219</v>
      </c>
      <c r="B96" s="6"/>
      <c r="C96" s="44"/>
    </row>
    <row r="97" spans="1:5">
      <c r="A97" s="45" t="s">
        <v>150</v>
      </c>
    </row>
    <row r="98" spans="1:5">
      <c r="A98" s="45" t="s">
        <v>220</v>
      </c>
    </row>
    <row r="99" spans="1:5" s="41" customFormat="1">
      <c r="A99" s="46" t="s">
        <v>152</v>
      </c>
      <c r="B99" s="138" t="s">
        <v>221</v>
      </c>
      <c r="C99" s="47"/>
      <c r="D99" s="139"/>
      <c r="E99" s="150"/>
    </row>
    <row r="100" spans="1:5">
      <c r="B100" s="41" t="s">
        <v>211</v>
      </c>
    </row>
  </sheetData>
  <mergeCells count="1">
    <mergeCell ref="D3:E3"/>
  </mergeCells>
  <printOptions horizontalCentered="1"/>
  <pageMargins left="0" right="0" top="0.39370078740157483" bottom="0.19685039370078741" header="0.31496062992125984" footer="0.31496062992125984"/>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แบบฟอร์ม 1 (ขยะสะสม) ส่ง</vt:lpstr>
      <vt:lpstr>แบบฟอร์ม 2 (ขยะใหม่) ส่ง</vt:lpstr>
      <vt:lpstr>แบบฟอร์ม 3 (Recycle) ส่ง</vt:lpstr>
      <vt:lpstr>'แบบฟอร์ม 1 (ขยะสะสม) ส่ง'!Print_Titles</vt:lpstr>
      <vt:lpstr>'แบบฟอร์ม 2 (ขยะใหม่) ส่ง'!Print_Titles</vt:lpstr>
      <vt:lpstr>'แบบฟอร์ม 3 (Recycle) ส่ง'!Print_Titles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pattaraporn.s</dc:creator>
  <cp:lastModifiedBy>pattaraporn.s</cp:lastModifiedBy>
  <cp:lastPrinted>2016-04-21T04:22:36Z</cp:lastPrinted>
  <dcterms:created xsi:type="dcterms:W3CDTF">2016-03-25T07:16:51Z</dcterms:created>
  <dcterms:modified xsi:type="dcterms:W3CDTF">2016-04-26T02:32:51Z</dcterms:modified>
</cp:coreProperties>
</file>